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co Mocci\Cloud\#My Work\PIANI D'ACQUISTO 2023\SALUTE MENTALE 2023\"/>
    </mc:Choice>
  </mc:AlternateContent>
  <bookViews>
    <workbookView xWindow="0" yWindow="0" windowWidth="19200" windowHeight="11190" tabRatio="854" activeTab="1"/>
  </bookViews>
  <sheets>
    <sheet name="POPOLAZIONE" sheetId="25" r:id="rId1"/>
    <sheet name="00 - BUDGET" sheetId="2" r:id="rId2"/>
    <sheet name="01 - FATTURATO" sheetId="11" r:id="rId3"/>
    <sheet name="02 - CAPACITA" sheetId="14" r:id="rId4"/>
    <sheet name="03_1 - CAPILLARIZZAZIONE" sheetId="26" r:id="rId5"/>
    <sheet name="03 - CAPILLARIZZAZIONE" sheetId="17" r:id="rId6"/>
    <sheet name="04 - TOTALE" sheetId="16" r:id="rId7"/>
  </sheets>
  <definedNames>
    <definedName name="_xlnm._FilterDatabase" localSheetId="2" hidden="1">'01 - FATTURATO'!$A$1:$E$5</definedName>
    <definedName name="_xlnm._FilterDatabase" localSheetId="3" hidden="1">'02 - CAPACITA'!$A$1:$E$5</definedName>
    <definedName name="_xlnm._FilterDatabase" localSheetId="5" hidden="1">'03 - CAPILLARIZZAZIONE'!$A$1:$C$5</definedName>
    <definedName name="_xlnm._FilterDatabase" localSheetId="4" hidden="1">'03_1 - CAPILLARIZZAZIONE'!$A$1:$M$28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" i="26" l="1"/>
  <c r="M4" i="26"/>
  <c r="M5" i="26"/>
  <c r="M6" i="26"/>
  <c r="M7" i="26"/>
  <c r="M8" i="26"/>
  <c r="M9" i="26"/>
  <c r="M10" i="26"/>
  <c r="M11" i="26"/>
  <c r="M12" i="26"/>
  <c r="M13" i="26"/>
  <c r="M14" i="26"/>
  <c r="M15" i="26"/>
  <c r="M16" i="26"/>
  <c r="M17" i="26"/>
  <c r="M18" i="26"/>
  <c r="M19" i="26"/>
  <c r="M20" i="26"/>
  <c r="M21" i="26"/>
  <c r="M22" i="26"/>
  <c r="M23" i="26"/>
  <c r="M24" i="26"/>
  <c r="M25" i="26"/>
  <c r="M26" i="26"/>
  <c r="M27" i="26"/>
  <c r="M28" i="26"/>
  <c r="M2" i="26"/>
  <c r="G3" i="26"/>
  <c r="G4" i="26"/>
  <c r="G5" i="26"/>
  <c r="G6" i="26"/>
  <c r="G7" i="26"/>
  <c r="G8" i="26"/>
  <c r="G9" i="26"/>
  <c r="G10" i="26"/>
  <c r="G11" i="26"/>
  <c r="G12" i="26"/>
  <c r="G13" i="26"/>
  <c r="G14" i="26"/>
  <c r="G15" i="26"/>
  <c r="G16" i="26"/>
  <c r="G17" i="26"/>
  <c r="G18" i="26"/>
  <c r="G19" i="26"/>
  <c r="G20" i="26"/>
  <c r="G21" i="26"/>
  <c r="G22" i="26"/>
  <c r="G23" i="26"/>
  <c r="G24" i="26"/>
  <c r="G25" i="26"/>
  <c r="G26" i="26"/>
  <c r="G27" i="26"/>
  <c r="G28" i="26"/>
  <c r="G2" i="26"/>
  <c r="B10" i="25" l="1"/>
  <c r="A28" i="26" l="1"/>
  <c r="A27" i="26"/>
  <c r="A26" i="26"/>
  <c r="A23" i="26"/>
  <c r="A22" i="26"/>
  <c r="A19" i="26"/>
  <c r="A16" i="26"/>
  <c r="A15" i="26"/>
  <c r="A14" i="26"/>
  <c r="A13" i="26"/>
  <c r="A12" i="26"/>
  <c r="A9" i="26"/>
  <c r="A8" i="26"/>
  <c r="A6" i="26"/>
  <c r="A5" i="26"/>
  <c r="A4" i="26"/>
  <c r="I3" i="26"/>
  <c r="D6" i="14"/>
  <c r="D7" i="14"/>
  <c r="D8" i="14"/>
  <c r="D9" i="14"/>
  <c r="D10" i="14"/>
  <c r="D11" i="14"/>
  <c r="D12" i="14"/>
  <c r="D13" i="14"/>
  <c r="D14" i="14"/>
  <c r="D3" i="14"/>
  <c r="D4" i="14"/>
  <c r="D5" i="14"/>
  <c r="D2" i="14"/>
  <c r="D3" i="11"/>
  <c r="D4" i="11"/>
  <c r="D5" i="11"/>
  <c r="D6" i="11"/>
  <c r="D7" i="11"/>
  <c r="D8" i="11"/>
  <c r="D9" i="11"/>
  <c r="D10" i="11"/>
  <c r="D11" i="11"/>
  <c r="D12" i="11"/>
  <c r="D13" i="11"/>
  <c r="D14" i="11"/>
  <c r="D2" i="11"/>
  <c r="I4" i="26" l="1"/>
  <c r="A17" i="26"/>
  <c r="A7" i="26"/>
  <c r="I7" i="26"/>
  <c r="I10" i="26"/>
  <c r="A18" i="26"/>
  <c r="A20" i="26"/>
  <c r="I14" i="26"/>
  <c r="I2" i="26"/>
  <c r="I21" i="26"/>
  <c r="I24" i="26"/>
  <c r="A10" i="26"/>
  <c r="I13" i="26"/>
  <c r="I16" i="26"/>
  <c r="I20" i="26"/>
  <c r="A24" i="26"/>
  <c r="I27" i="26"/>
  <c r="A2" i="26"/>
  <c r="I15" i="26"/>
  <c r="I18" i="26"/>
  <c r="I23" i="26"/>
  <c r="I26" i="26"/>
  <c r="I6" i="26"/>
  <c r="A21" i="26"/>
  <c r="I28" i="26"/>
  <c r="I9" i="26"/>
  <c r="I12" i="26"/>
  <c r="I8" i="26"/>
  <c r="I22" i="26"/>
  <c r="I25" i="26"/>
  <c r="I19" i="26"/>
  <c r="A3" i="26"/>
  <c r="I5" i="26"/>
  <c r="I11" i="26"/>
  <c r="A11" i="26"/>
  <c r="I17" i="26"/>
  <c r="A25" i="26"/>
  <c r="H11" i="26" l="1"/>
  <c r="J11" i="26" s="1"/>
  <c r="K11" i="26" s="1"/>
  <c r="H18" i="26"/>
  <c r="J18" i="26" s="1"/>
  <c r="K18" i="26" s="1"/>
  <c r="H21" i="26"/>
  <c r="J21" i="26" s="1"/>
  <c r="K21" i="26" s="1"/>
  <c r="H2" i="26"/>
  <c r="J2" i="26" s="1"/>
  <c r="K2" i="26" s="1"/>
  <c r="H7" i="26"/>
  <c r="J7" i="26" s="1"/>
  <c r="K7" i="26" s="1"/>
  <c r="H17" i="26"/>
  <c r="J17" i="26" s="1"/>
  <c r="K17" i="26" s="1"/>
  <c r="H19" i="26"/>
  <c r="J19" i="26" s="1"/>
  <c r="K19" i="26" s="1"/>
  <c r="H24" i="26"/>
  <c r="J24" i="26" s="1"/>
  <c r="K24" i="26" s="1"/>
  <c r="H27" i="26"/>
  <c r="J27" i="26" s="1"/>
  <c r="K27" i="26" s="1"/>
  <c r="H14" i="26"/>
  <c r="J14" i="26" s="1"/>
  <c r="K14" i="26" s="1"/>
  <c r="H13" i="26"/>
  <c r="J13" i="26" s="1"/>
  <c r="K13" i="26" s="1"/>
  <c r="H25" i="26"/>
  <c r="J25" i="26" s="1"/>
  <c r="K25" i="26" s="1"/>
  <c r="H3" i="26"/>
  <c r="J3" i="26" s="1"/>
  <c r="K3" i="26" s="1"/>
  <c r="H20" i="26"/>
  <c r="J20" i="26" s="1"/>
  <c r="K20" i="26" s="1"/>
  <c r="H8" i="26"/>
  <c r="J8" i="26" s="1"/>
  <c r="K8" i="26" s="1"/>
  <c r="H5" i="26"/>
  <c r="J5" i="26" s="1"/>
  <c r="K5" i="26" s="1"/>
  <c r="H26" i="26"/>
  <c r="J26" i="26" s="1"/>
  <c r="K26" i="26" s="1"/>
  <c r="H23" i="26"/>
  <c r="J23" i="26" s="1"/>
  <c r="K23" i="26" s="1"/>
  <c r="H15" i="26"/>
  <c r="J15" i="26" s="1"/>
  <c r="K15" i="26" s="1"/>
  <c r="H12" i="26"/>
  <c r="J12" i="26" s="1"/>
  <c r="K12" i="26" s="1"/>
  <c r="H9" i="26"/>
  <c r="J9" i="26" s="1"/>
  <c r="K9" i="26" s="1"/>
  <c r="H22" i="26"/>
  <c r="J22" i="26" s="1"/>
  <c r="K22" i="26" s="1"/>
  <c r="H6" i="26"/>
  <c r="J6" i="26" s="1"/>
  <c r="K6" i="26" s="1"/>
  <c r="H10" i="26"/>
  <c r="J10" i="26" s="1"/>
  <c r="K10" i="26" s="1"/>
  <c r="H28" i="26"/>
  <c r="J28" i="26" s="1"/>
  <c r="K28" i="26" s="1"/>
  <c r="H4" i="26"/>
  <c r="J4" i="26" s="1"/>
  <c r="K4" i="26" s="1"/>
  <c r="H16" i="26"/>
  <c r="J16" i="26" s="1"/>
  <c r="K16" i="26" s="1"/>
  <c r="L4" i="26" l="1"/>
  <c r="L24" i="26"/>
  <c r="L17" i="26"/>
  <c r="L2" i="26"/>
  <c r="L6" i="26"/>
  <c r="L8" i="26"/>
  <c r="L28" i="26"/>
  <c r="L9" i="26"/>
  <c r="L26" i="26"/>
  <c r="L11" i="26"/>
  <c r="L21" i="26"/>
  <c r="L23" i="26"/>
  <c r="L22" i="26"/>
  <c r="L20" i="26"/>
  <c r="L3" i="26"/>
  <c r="L14" i="26"/>
  <c r="L7" i="26"/>
  <c r="L18" i="26"/>
  <c r="L13" i="26"/>
  <c r="L12" i="26"/>
  <c r="L16" i="26"/>
  <c r="L10" i="26"/>
  <c r="L15" i="26"/>
  <c r="L5" i="26"/>
  <c r="L25" i="26"/>
  <c r="L27" i="26"/>
  <c r="L19" i="26"/>
  <c r="C3" i="25" l="1"/>
  <c r="C4" i="25"/>
  <c r="C5" i="25"/>
  <c r="C6" i="25"/>
  <c r="C7" i="25"/>
  <c r="C8" i="25"/>
  <c r="C9" i="25"/>
  <c r="C2" i="25"/>
  <c r="C6" i="2" l="1"/>
  <c r="C7" i="2"/>
  <c r="C5" i="2"/>
  <c r="E4" i="11" l="1"/>
  <c r="F5" i="16" s="1"/>
  <c r="E11" i="11"/>
  <c r="F12" i="16" s="1"/>
  <c r="E8" i="11"/>
  <c r="F9" i="16" s="1"/>
  <c r="E6" i="11"/>
  <c r="F7" i="16" s="1"/>
  <c r="E13" i="11"/>
  <c r="F14" i="16" s="1"/>
  <c r="E10" i="11"/>
  <c r="F11" i="16" s="1"/>
  <c r="E9" i="11"/>
  <c r="F10" i="16" s="1"/>
  <c r="E3" i="11"/>
  <c r="F4" i="16" s="1"/>
  <c r="E7" i="11"/>
  <c r="F8" i="16" s="1"/>
  <c r="E5" i="11"/>
  <c r="F6" i="16" s="1"/>
  <c r="E12" i="11"/>
  <c r="F13" i="16" s="1"/>
  <c r="E14" i="11"/>
  <c r="F15" i="16" s="1"/>
  <c r="E9" i="14"/>
  <c r="G10" i="16" s="1"/>
  <c r="E12" i="14"/>
  <c r="G13" i="16" s="1"/>
  <c r="E7" i="14"/>
  <c r="G8" i="16" s="1"/>
  <c r="E14" i="14"/>
  <c r="G15" i="16" s="1"/>
  <c r="E13" i="14"/>
  <c r="G14" i="16" s="1"/>
  <c r="E11" i="14"/>
  <c r="G12" i="16" s="1"/>
  <c r="E10" i="14"/>
  <c r="G11" i="16" s="1"/>
  <c r="E4" i="14"/>
  <c r="G5" i="16" s="1"/>
  <c r="E3" i="14"/>
  <c r="G4" i="16" s="1"/>
  <c r="E5" i="14"/>
  <c r="G6" i="16" s="1"/>
  <c r="E6" i="14"/>
  <c r="G7" i="16" s="1"/>
  <c r="E8" i="14"/>
  <c r="G9" i="16" s="1"/>
  <c r="E2" i="14"/>
  <c r="G3" i="16" s="1"/>
  <c r="E2" i="11"/>
  <c r="F3" i="16" s="1"/>
  <c r="C10" i="17" l="1"/>
  <c r="H11" i="16" s="1"/>
  <c r="I11" i="16" s="1"/>
  <c r="C11" i="17"/>
  <c r="H12" i="16" s="1"/>
  <c r="I12" i="16" s="1"/>
  <c r="C8" i="17"/>
  <c r="H9" i="16" s="1"/>
  <c r="I9" i="16" s="1"/>
  <c r="C7" i="17"/>
  <c r="H8" i="16" s="1"/>
  <c r="I8" i="16" s="1"/>
  <c r="C13" i="17"/>
  <c r="H14" i="16" s="1"/>
  <c r="I14" i="16" s="1"/>
  <c r="C3" i="17"/>
  <c r="H4" i="16" s="1"/>
  <c r="I4" i="16" s="1"/>
  <c r="C4" i="17"/>
  <c r="H5" i="16" s="1"/>
  <c r="I5" i="16" s="1"/>
  <c r="C12" i="17"/>
  <c r="H13" i="16" s="1"/>
  <c r="I13" i="16" s="1"/>
  <c r="C6" i="17" l="1"/>
  <c r="H7" i="16" s="1"/>
  <c r="I7" i="16" s="1"/>
  <c r="C5" i="17"/>
  <c r="H6" i="16" s="1"/>
  <c r="I6" i="16" s="1"/>
  <c r="C9" i="17"/>
  <c r="H10" i="16" s="1"/>
  <c r="I10" i="16" s="1"/>
  <c r="C14" i="17"/>
  <c r="H15" i="16" s="1"/>
  <c r="I15" i="16" s="1"/>
  <c r="C2" i="17"/>
  <c r="H3" i="16" s="1"/>
  <c r="I3" i="16" l="1"/>
</calcChain>
</file>

<file path=xl/sharedStrings.xml><?xml version="1.0" encoding="utf-8"?>
<sst xmlns="http://schemas.openxmlformats.org/spreadsheetml/2006/main" count="293" uniqueCount="67">
  <si>
    <t>BUDGET</t>
  </si>
  <si>
    <t>FATTURATO</t>
  </si>
  <si>
    <t>ENTE GIURIDICO</t>
  </si>
  <si>
    <t>CAPACITA'</t>
  </si>
  <si>
    <t>TIPOLOGIA</t>
  </si>
  <si>
    <t>CRITERI</t>
  </si>
  <si>
    <t>CAPILLARIZZAZIONE</t>
  </si>
  <si>
    <t>%</t>
  </si>
  <si>
    <t>NUORO</t>
  </si>
  <si>
    <t>CAGLIARI</t>
  </si>
  <si>
    <t>ORISTANO</t>
  </si>
  <si>
    <t>SASSARI</t>
  </si>
  <si>
    <t>ASL</t>
  </si>
  <si>
    <t>Popolazione</t>
  </si>
  <si>
    <t>TOTALE</t>
  </si>
  <si>
    <t>INDICE ABITANTI</t>
  </si>
  <si>
    <t>STRUTTURE STESSO LIVELLO NELL'ASSL</t>
  </si>
  <si>
    <t>STRUTTURE STESSO LIVELLO SARDEGNA</t>
  </si>
  <si>
    <t>INDICE PRESENZA</t>
  </si>
  <si>
    <t>MEDIA INDICI</t>
  </si>
  <si>
    <t>% INDICI</t>
  </si>
  <si>
    <t>BUDGET CAPILLARIZZAZIONE</t>
  </si>
  <si>
    <t>TETTO 2022</t>
  </si>
  <si>
    <t>SULCIS</t>
  </si>
  <si>
    <t>MEDIOCAMPIDANO</t>
  </si>
  <si>
    <t>OGLIASTRA</t>
  </si>
  <si>
    <t>NOME STRUTTURA</t>
  </si>
  <si>
    <t>LIVELLO CONTRATTATO</t>
  </si>
  <si>
    <t>GALLURA</t>
  </si>
  <si>
    <t>PESO</t>
  </si>
  <si>
    <t>BUDGET PER ADULTI</t>
  </si>
  <si>
    <t>ANTES SOC. COOP. A R.L.</t>
  </si>
  <si>
    <t>ADULTI</t>
  </si>
  <si>
    <t>APPRODI SOCIETA COOPERATIVA SOCIALE</t>
  </si>
  <si>
    <t>ASSOCIAZIONE CASA EMMAUS IMPRESA SOCIALE ADULTI</t>
  </si>
  <si>
    <t>CENTRO D'ASCOLTO MADONNA DEL ROSARIO</t>
  </si>
  <si>
    <t>CODESS SOCIALE SOCIETA' COOPERATIVA SOCIALE ONLUS</t>
  </si>
  <si>
    <t>COOPERATIVA ALEA</t>
  </si>
  <si>
    <t>COOPERATIVA SOCIALE A.R.L. PROGETTO UOMO</t>
  </si>
  <si>
    <t>COOPERATIVA SOCIALE CTR - COMUNICAZIONE TERRITORIO RELAZIONI - ONLUS</t>
  </si>
  <si>
    <t>COOPERATIVA SOCIALE L'ARCA</t>
  </si>
  <si>
    <t>RESIDENZA SMERALDO S.R.L. - GRUPPO IPPOCRATE</t>
  </si>
  <si>
    <t>RESIDENZA TURCHESE S.R.L. - GRUPPO IPPOCRATE</t>
  </si>
  <si>
    <t>SONTSE - SOCIETA' COOPERATIVA SOCIALE</t>
  </si>
  <si>
    <t>VILLA SAN GIUSEPPE S.R.L.</t>
  </si>
  <si>
    <t>CASA EMMAUS - Via Sant'Antonio 
ora LO SPECCHIO</t>
  </si>
  <si>
    <t xml:space="preserve">SRP3 </t>
  </si>
  <si>
    <t xml:space="preserve">COMUNITA' TERAPEUTICA SAN MICHELE  </t>
  </si>
  <si>
    <t>SRPAE (SRP2)</t>
  </si>
  <si>
    <t>COMUNITA' BETANIA</t>
  </si>
  <si>
    <t>SRPAI (SRP1)</t>
  </si>
  <si>
    <t>ANTES - In cima (Ussassai)</t>
  </si>
  <si>
    <t>ANTES - Ahora (Arzana)</t>
  </si>
  <si>
    <t xml:space="preserve">ANTES - STRUTTURA 2 AHORA - S.P. 23 ARZANA </t>
  </si>
  <si>
    <t>ANTES - ANDALA (Gairo)</t>
  </si>
  <si>
    <t xml:space="preserve">APPRODI </t>
  </si>
  <si>
    <t xml:space="preserve">CODESS SOCIALE 
</t>
  </si>
  <si>
    <t>COOP. SOCIALE CTR ONLUS - Assemini</t>
  </si>
  <si>
    <t>COOP. SOCIALE CTR ONLUS - Santa Giusta SX</t>
  </si>
  <si>
    <t>COOP. SOCIALE CTR ONLUS - Santa Giusta DX</t>
  </si>
  <si>
    <t xml:space="preserve">Residenza Smeraldo </t>
  </si>
  <si>
    <t xml:space="preserve">Residenza Turchese </t>
  </si>
  <si>
    <t>COMUNITA' SANTA CATERINA - L'ARCA</t>
  </si>
  <si>
    <t xml:space="preserve">PROGETTO UOMO </t>
  </si>
  <si>
    <t xml:space="preserve">SONTSE  </t>
  </si>
  <si>
    <t xml:space="preserve">CASA SABINA </t>
  </si>
  <si>
    <t>BUDGET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</si>
</sst>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MS Sans Serif"/>
      <family val="2"/>
    </font>
    <font>
      <sz val="12"/>
      <color rgb="FF000000"/>
      <name val="Calibri"/>
      <family val="2"/>
      <charset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4" fillId="0" borderId="0" applyNumberFormat="0" applyFill="0" applyBorder="0" applyProtection="0">
      <alignment horizontal="left"/>
    </xf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</cellStyleXfs>
  <cellXfs count="19">
    <xf numFmtId="0" fontId="0" fillId="0" borderId="0" xfId="0"/>
    <xf numFmtId="43" fontId="0" fillId="0" borderId="0" xfId="1" applyFont="1"/>
    <xf numFmtId="43" fontId="0" fillId="0" borderId="0" xfId="0" applyNumberFormat="1"/>
    <xf numFmtId="0" fontId="3" fillId="0" borderId="1" xfId="0" applyFont="1" applyBorder="1"/>
    <xf numFmtId="0" fontId="0" fillId="0" borderId="1" xfId="0" applyBorder="1"/>
    <xf numFmtId="43" fontId="0" fillId="0" borderId="1" xfId="1" applyFont="1" applyBorder="1"/>
    <xf numFmtId="43" fontId="0" fillId="0" borderId="1" xfId="0" applyNumberFormat="1" applyBorder="1"/>
    <xf numFmtId="0" fontId="3" fillId="0" borderId="0" xfId="0" applyFont="1"/>
    <xf numFmtId="0" fontId="2" fillId="0" borderId="1" xfId="0" applyFont="1" applyBorder="1"/>
    <xf numFmtId="9" fontId="0" fillId="0" borderId="1" xfId="4" applyFont="1" applyBorder="1"/>
    <xf numFmtId="164" fontId="0" fillId="0" borderId="1" xfId="0" applyNumberFormat="1" applyBorder="1"/>
    <xf numFmtId="10" fontId="0" fillId="0" borderId="0" xfId="4" applyNumberFormat="1" applyFont="1"/>
    <xf numFmtId="2" fontId="0" fillId="0" borderId="0" xfId="0" applyNumberFormat="1"/>
    <xf numFmtId="10" fontId="2" fillId="0" borderId="1" xfId="4" applyNumberFormat="1" applyFont="1" applyBorder="1"/>
    <xf numFmtId="0" fontId="2" fillId="0" borderId="1" xfId="0" applyFont="1" applyBorder="1" applyAlignment="1"/>
    <xf numFmtId="0" fontId="7" fillId="0" borderId="0" xfId="0" applyFont="1" applyFill="1"/>
    <xf numFmtId="0" fontId="8" fillId="0" borderId="0" xfId="0" applyFont="1" applyFill="1"/>
    <xf numFmtId="43" fontId="7" fillId="0" borderId="0" xfId="1" applyFont="1" applyFill="1"/>
    <xf numFmtId="0" fontId="7" fillId="0" borderId="0" xfId="0" applyFont="1" applyFill="1" applyAlignment="1">
      <alignment horizontal="center"/>
    </xf>
  </cellXfs>
  <cellStyles count="8">
    <cellStyle name="Migliaia" xfId="1" builtinId="3"/>
    <cellStyle name="Migliaia 2" xfId="5"/>
    <cellStyle name="Normale" xfId="0" builtinId="0"/>
    <cellStyle name="Normale 2" xfId="2"/>
    <cellStyle name="Normale 3" xfId="6"/>
    <cellStyle name="Percentuale" xfId="4" builtinId="5"/>
    <cellStyle name="Pivot Table Category" xfId="3"/>
    <cellStyle name="Valuta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B10" sqref="B10"/>
    </sheetView>
  </sheetViews>
  <sheetFormatPr defaultRowHeight="15" x14ac:dyDescent="0.25"/>
  <cols>
    <col min="1" max="1" width="10.42578125" bestFit="1" customWidth="1"/>
    <col min="2" max="2" width="14.7109375" bestFit="1" customWidth="1"/>
  </cols>
  <sheetData>
    <row r="1" spans="1:3" x14ac:dyDescent="0.25">
      <c r="A1" s="7" t="s">
        <v>12</v>
      </c>
      <c r="B1" s="7" t="s">
        <v>13</v>
      </c>
    </row>
    <row r="2" spans="1:3" x14ac:dyDescent="0.25">
      <c r="A2" t="s">
        <v>11</v>
      </c>
      <c r="B2" s="1">
        <v>318295</v>
      </c>
      <c r="C2" s="12">
        <f>B2/B$10</f>
        <v>0.20051177607843707</v>
      </c>
    </row>
    <row r="3" spans="1:3" x14ac:dyDescent="0.25">
      <c r="A3" t="s">
        <v>28</v>
      </c>
      <c r="B3" s="1">
        <v>158221</v>
      </c>
      <c r="C3" s="12">
        <f t="shared" ref="C3:C9" si="0">B3/B$10</f>
        <v>9.967223400589513E-2</v>
      </c>
    </row>
    <row r="4" spans="1:3" x14ac:dyDescent="0.25">
      <c r="A4" t="s">
        <v>8</v>
      </c>
      <c r="B4" s="1">
        <v>146725</v>
      </c>
      <c r="C4" s="12">
        <f t="shared" si="0"/>
        <v>9.2430262319887768E-2</v>
      </c>
    </row>
    <row r="5" spans="1:3" x14ac:dyDescent="0.25">
      <c r="A5" t="s">
        <v>25</v>
      </c>
      <c r="B5" s="1">
        <v>54829</v>
      </c>
      <c r="C5" s="12">
        <f t="shared" si="0"/>
        <v>3.4539845648233952E-2</v>
      </c>
    </row>
    <row r="6" spans="1:3" x14ac:dyDescent="0.25">
      <c r="A6" t="s">
        <v>10</v>
      </c>
      <c r="B6" s="1">
        <v>152426</v>
      </c>
      <c r="C6" s="12">
        <f t="shared" si="0"/>
        <v>9.6021640241071474E-2</v>
      </c>
    </row>
    <row r="7" spans="1:3" x14ac:dyDescent="0.25">
      <c r="A7" t="s">
        <v>24</v>
      </c>
      <c r="B7" s="1">
        <v>92660</v>
      </c>
      <c r="C7" s="12">
        <f t="shared" si="0"/>
        <v>5.837170289017414E-2</v>
      </c>
    </row>
    <row r="8" spans="1:3" x14ac:dyDescent="0.25">
      <c r="A8" t="s">
        <v>23</v>
      </c>
      <c r="B8" s="1">
        <v>119086</v>
      </c>
      <c r="C8" s="12">
        <f t="shared" si="0"/>
        <v>7.5018914422396693E-2</v>
      </c>
    </row>
    <row r="9" spans="1:3" x14ac:dyDescent="0.25">
      <c r="A9" t="s">
        <v>9</v>
      </c>
      <c r="B9" s="1">
        <v>545171</v>
      </c>
      <c r="C9" s="12">
        <f t="shared" si="0"/>
        <v>0.34343362439390379</v>
      </c>
    </row>
    <row r="10" spans="1:3" x14ac:dyDescent="0.25">
      <c r="A10" t="s">
        <v>14</v>
      </c>
      <c r="B10" s="1">
        <f>SUM(B2:B9)</f>
        <v>1587413</v>
      </c>
      <c r="C10" s="1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zoomScale="85" zoomScaleNormal="85" workbookViewId="0">
      <selection activeCell="C7" sqref="C7"/>
    </sheetView>
  </sheetViews>
  <sheetFormatPr defaultRowHeight="15" x14ac:dyDescent="0.25"/>
  <cols>
    <col min="1" max="1" width="53.7109375" bestFit="1" customWidth="1"/>
    <col min="2" max="2" width="15.7109375" bestFit="1" customWidth="1"/>
    <col min="3" max="3" width="20.42578125" bestFit="1" customWidth="1"/>
    <col min="4" max="4" width="24" bestFit="1" customWidth="1"/>
    <col min="6" max="6" width="18.85546875" bestFit="1" customWidth="1"/>
  </cols>
  <sheetData>
    <row r="1" spans="1:5" ht="15.75" x14ac:dyDescent="0.25">
      <c r="A1" s="3"/>
      <c r="B1" s="14" t="s">
        <v>0</v>
      </c>
    </row>
    <row r="2" spans="1:5" x14ac:dyDescent="0.25">
      <c r="A2" s="4" t="s">
        <v>30</v>
      </c>
      <c r="B2" s="6">
        <v>10258624.820996791</v>
      </c>
      <c r="C2" s="2"/>
      <c r="D2" s="2"/>
    </row>
    <row r="4" spans="1:5" ht="15.75" x14ac:dyDescent="0.25">
      <c r="A4" s="14" t="s">
        <v>5</v>
      </c>
      <c r="B4" s="14" t="s">
        <v>29</v>
      </c>
      <c r="C4" s="8" t="s">
        <v>0</v>
      </c>
    </row>
    <row r="5" spans="1:5" x14ac:dyDescent="0.25">
      <c r="A5" s="4" t="s">
        <v>1</v>
      </c>
      <c r="B5" s="9">
        <v>0.7</v>
      </c>
      <c r="C5" s="6">
        <f>B$2*B5</f>
        <v>7181037.3746977532</v>
      </c>
      <c r="D5" s="2"/>
      <c r="E5" s="2"/>
    </row>
    <row r="6" spans="1:5" x14ac:dyDescent="0.25">
      <c r="A6" s="4" t="s">
        <v>3</v>
      </c>
      <c r="B6" s="9">
        <v>0.2</v>
      </c>
      <c r="C6" s="6">
        <f>B$2*B6</f>
        <v>2051724.9641993584</v>
      </c>
      <c r="D6" s="2"/>
      <c r="E6" s="2"/>
    </row>
    <row r="7" spans="1:5" x14ac:dyDescent="0.25">
      <c r="A7" s="4" t="s">
        <v>6</v>
      </c>
      <c r="B7" s="9">
        <v>0.1</v>
      </c>
      <c r="C7" s="6">
        <f>B$2*B7</f>
        <v>1025862.4820996792</v>
      </c>
      <c r="D7" s="2"/>
      <c r="E7" s="2"/>
    </row>
    <row r="8" spans="1:5" x14ac:dyDescent="0.25">
      <c r="C8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A11" sqref="A11:XFD11"/>
    </sheetView>
  </sheetViews>
  <sheetFormatPr defaultRowHeight="15" x14ac:dyDescent="0.25"/>
  <cols>
    <col min="1" max="1" width="72.42578125" bestFit="1" customWidth="1"/>
    <col min="2" max="2" width="15.28515625" bestFit="1" customWidth="1"/>
    <col min="3" max="3" width="32" bestFit="1" customWidth="1"/>
    <col min="4" max="4" width="9.7109375" bestFit="1" customWidth="1"/>
    <col min="5" max="5" width="14.7109375" bestFit="1" customWidth="1"/>
  </cols>
  <sheetData>
    <row r="1" spans="1:5" x14ac:dyDescent="0.25">
      <c r="A1" s="7" t="s">
        <v>2</v>
      </c>
      <c r="B1" s="7" t="s">
        <v>4</v>
      </c>
      <c r="C1" s="7" t="s">
        <v>1</v>
      </c>
      <c r="D1" s="7" t="s">
        <v>7</v>
      </c>
      <c r="E1" s="7" t="s">
        <v>0</v>
      </c>
    </row>
    <row r="2" spans="1:5" x14ac:dyDescent="0.25">
      <c r="A2" t="s">
        <v>31</v>
      </c>
      <c r="B2" t="s">
        <v>32</v>
      </c>
      <c r="C2" s="1">
        <v>2506580.83</v>
      </c>
      <c r="D2" s="11">
        <f t="shared" ref="D2:D14" si="0">C2/SUMIF(B$2:B$14,B2,C$2:C$14)</f>
        <v>0.24200341365485423</v>
      </c>
      <c r="E2" s="1">
        <f>'00 - BUDGET'!C$5*D2</f>
        <v>1737835.5582599489</v>
      </c>
    </row>
    <row r="3" spans="1:5" x14ac:dyDescent="0.25">
      <c r="A3" t="s">
        <v>33</v>
      </c>
      <c r="B3" t="s">
        <v>32</v>
      </c>
      <c r="C3" s="1">
        <v>329749.90000000002</v>
      </c>
      <c r="D3" s="11">
        <f t="shared" si="0"/>
        <v>3.1836436510346573E-2</v>
      </c>
      <c r="E3" s="1">
        <f>'00 - BUDGET'!C$5*D3</f>
        <v>228618.64045799087</v>
      </c>
    </row>
    <row r="4" spans="1:5" x14ac:dyDescent="0.25">
      <c r="A4" t="s">
        <v>34</v>
      </c>
      <c r="B4" t="s">
        <v>32</v>
      </c>
      <c r="C4" s="1">
        <v>0</v>
      </c>
      <c r="D4" s="11">
        <f t="shared" si="0"/>
        <v>0</v>
      </c>
      <c r="E4" s="1">
        <f>'00 - BUDGET'!C$5*D4</f>
        <v>0</v>
      </c>
    </row>
    <row r="5" spans="1:5" x14ac:dyDescent="0.25">
      <c r="A5" t="s">
        <v>35</v>
      </c>
      <c r="B5" t="s">
        <v>32</v>
      </c>
      <c r="C5" s="1">
        <v>1082117</v>
      </c>
      <c r="D5" s="11">
        <f t="shared" si="0"/>
        <v>0.10447538927916794</v>
      </c>
      <c r="E5" s="1">
        <f>'00 - BUDGET'!C$5*D5</f>
        <v>750241.67514980189</v>
      </c>
    </row>
    <row r="6" spans="1:5" x14ac:dyDescent="0.25">
      <c r="A6" t="s">
        <v>36</v>
      </c>
      <c r="B6" t="s">
        <v>32</v>
      </c>
      <c r="C6" s="1">
        <v>1182192.8900000001</v>
      </c>
      <c r="D6" s="11">
        <f t="shared" si="0"/>
        <v>0.11413743836000598</v>
      </c>
      <c r="E6" s="1">
        <f>'00 - BUDGET'!C$5*D6</f>
        <v>819625.21071546397</v>
      </c>
    </row>
    <row r="7" spans="1:5" x14ac:dyDescent="0.25">
      <c r="A7" t="s">
        <v>37</v>
      </c>
      <c r="B7" t="s">
        <v>32</v>
      </c>
      <c r="C7" s="1">
        <v>0</v>
      </c>
      <c r="D7" s="11">
        <f t="shared" si="0"/>
        <v>0</v>
      </c>
      <c r="E7" s="1">
        <f>'00 - BUDGET'!C$5*D7</f>
        <v>0</v>
      </c>
    </row>
    <row r="8" spans="1:5" x14ac:dyDescent="0.25">
      <c r="A8" t="s">
        <v>38</v>
      </c>
      <c r="B8" t="s">
        <v>32</v>
      </c>
      <c r="C8" s="1">
        <v>245250</v>
      </c>
      <c r="D8" s="11">
        <f t="shared" si="0"/>
        <v>2.367820598023683E-2</v>
      </c>
      <c r="E8" s="1">
        <f>'00 - BUDGET'!C$5*D8</f>
        <v>170034.08210987251</v>
      </c>
    </row>
    <row r="9" spans="1:5" x14ac:dyDescent="0.25">
      <c r="A9" t="s">
        <v>39</v>
      </c>
      <c r="B9" t="s">
        <v>32</v>
      </c>
      <c r="C9" s="1">
        <v>1408073.6</v>
      </c>
      <c r="D9" s="11">
        <f t="shared" si="0"/>
        <v>0.13594559321563141</v>
      </c>
      <c r="E9" s="1">
        <f>'00 - BUDGET'!C$5*D9</f>
        <v>976230.38580690639</v>
      </c>
    </row>
    <row r="10" spans="1:5" x14ac:dyDescent="0.25">
      <c r="A10" t="s">
        <v>40</v>
      </c>
      <c r="B10" t="s">
        <v>32</v>
      </c>
      <c r="C10" s="1">
        <v>707981.4</v>
      </c>
      <c r="D10" s="11">
        <f t="shared" si="0"/>
        <v>6.8353636776254612E-2</v>
      </c>
      <c r="E10" s="1">
        <f>'00 - BUDGET'!C$5*D10</f>
        <v>490850.02038679924</v>
      </c>
    </row>
    <row r="11" spans="1:5" x14ac:dyDescent="0.25">
      <c r="A11" t="s">
        <v>41</v>
      </c>
      <c r="B11" t="s">
        <v>32</v>
      </c>
      <c r="C11" s="1">
        <v>949295.10000000009</v>
      </c>
      <c r="D11" s="11">
        <f t="shared" si="0"/>
        <v>9.1651803929987855E-2</v>
      </c>
      <c r="E11" s="1">
        <f>'00 - BUDGET'!C$5*D11</f>
        <v>658155.02947971318</v>
      </c>
    </row>
    <row r="12" spans="1:5" x14ac:dyDescent="0.25">
      <c r="A12" t="s">
        <v>42</v>
      </c>
      <c r="B12" t="s">
        <v>32</v>
      </c>
      <c r="C12" s="1">
        <v>744554.60000000009</v>
      </c>
      <c r="D12" s="11">
        <f t="shared" si="0"/>
        <v>7.188467760380364E-2</v>
      </c>
      <c r="E12" s="1">
        <f>'00 - BUDGET'!C$5*D12</f>
        <v>516206.55654101248</v>
      </c>
    </row>
    <row r="13" spans="1:5" x14ac:dyDescent="0.25">
      <c r="A13" t="s">
        <v>43</v>
      </c>
      <c r="B13" t="s">
        <v>32</v>
      </c>
      <c r="C13" s="1">
        <v>405720</v>
      </c>
      <c r="D13" s="11">
        <f t="shared" si="0"/>
        <v>3.9171138553727572E-2</v>
      </c>
      <c r="E13" s="1">
        <f>'00 - BUDGET'!C$5*D13</f>
        <v>281289.40996378177</v>
      </c>
    </row>
    <row r="14" spans="1:5" x14ac:dyDescent="0.25">
      <c r="A14" t="s">
        <v>44</v>
      </c>
      <c r="B14" t="s">
        <v>32</v>
      </c>
      <c r="C14" s="1">
        <v>796110.6</v>
      </c>
      <c r="D14" s="11">
        <f t="shared" si="0"/>
        <v>7.6862266135983404E-2</v>
      </c>
      <c r="E14" s="1">
        <f>'00 - BUDGET'!C$5*D14</f>
        <v>551950.80582646234</v>
      </c>
    </row>
  </sheetData>
  <autoFilter ref="A1:E5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A11" sqref="A11:XFD11"/>
    </sheetView>
  </sheetViews>
  <sheetFormatPr defaultRowHeight="15" x14ac:dyDescent="0.25"/>
  <cols>
    <col min="1" max="1" width="72.42578125" bestFit="1" customWidth="1"/>
    <col min="2" max="2" width="15.28515625" bestFit="1" customWidth="1"/>
    <col min="3" max="3" width="14.7109375" bestFit="1" customWidth="1"/>
    <col min="5" max="5" width="14.7109375" bestFit="1" customWidth="1"/>
  </cols>
  <sheetData>
    <row r="1" spans="1:5" x14ac:dyDescent="0.25">
      <c r="A1" s="7" t="s">
        <v>2</v>
      </c>
      <c r="B1" s="7" t="s">
        <v>4</v>
      </c>
      <c r="C1" s="7" t="s">
        <v>3</v>
      </c>
      <c r="D1" s="7" t="s">
        <v>7</v>
      </c>
      <c r="E1" s="7" t="s">
        <v>0</v>
      </c>
    </row>
    <row r="2" spans="1:5" x14ac:dyDescent="0.25">
      <c r="A2" t="s">
        <v>31</v>
      </c>
      <c r="B2" t="s">
        <v>32</v>
      </c>
      <c r="C2" s="2">
        <v>3209080</v>
      </c>
      <c r="D2" s="11">
        <f t="shared" ref="D2:D14" si="0">C2/SUMIF(B$2:B$14,B2,C$2:C$14)</f>
        <v>0.26369144022554136</v>
      </c>
      <c r="E2" s="1">
        <f>'00 - BUDGET'!C$6*D2</f>
        <v>541022.31075642607</v>
      </c>
    </row>
    <row r="3" spans="1:5" x14ac:dyDescent="0.25">
      <c r="A3" t="s">
        <v>33</v>
      </c>
      <c r="B3" t="s">
        <v>32</v>
      </c>
      <c r="C3" s="2">
        <v>429240</v>
      </c>
      <c r="D3" s="11">
        <f t="shared" si="0"/>
        <v>3.5270829584308078E-2</v>
      </c>
      <c r="E3" s="1">
        <f>'00 - BUDGET'!C$6*D3</f>
        <v>72366.041566146159</v>
      </c>
    </row>
    <row r="4" spans="1:5" x14ac:dyDescent="0.25">
      <c r="A4" t="s">
        <v>34</v>
      </c>
      <c r="B4" t="s">
        <v>32</v>
      </c>
      <c r="C4" s="2">
        <v>52560</v>
      </c>
      <c r="D4" s="11">
        <f t="shared" si="0"/>
        <v>4.3188770919560917E-3</v>
      </c>
      <c r="E4" s="1">
        <f>'00 - BUDGET'!C$6*D4</f>
        <v>8861.1479468750404</v>
      </c>
    </row>
    <row r="5" spans="1:5" x14ac:dyDescent="0.25">
      <c r="A5" t="s">
        <v>35</v>
      </c>
      <c r="B5" t="s">
        <v>32</v>
      </c>
      <c r="C5" s="2">
        <v>1078575</v>
      </c>
      <c r="D5" s="11">
        <f t="shared" si="0"/>
        <v>8.8626956991182296E-2</v>
      </c>
      <c r="E5" s="1">
        <f>'00 - BUDGET'!C$6*D5</f>
        <v>181838.14015983156</v>
      </c>
    </row>
    <row r="6" spans="1:5" x14ac:dyDescent="0.25">
      <c r="A6" t="s">
        <v>36</v>
      </c>
      <c r="B6" t="s">
        <v>32</v>
      </c>
      <c r="C6">
        <v>1223480</v>
      </c>
      <c r="D6" s="11">
        <f t="shared" si="0"/>
        <v>0.10053386119608902</v>
      </c>
      <c r="E6" s="1">
        <f>'00 - BUDGET'!C$6*D6</f>
        <v>206267.83276336902</v>
      </c>
    </row>
    <row r="7" spans="1:5" x14ac:dyDescent="0.25">
      <c r="A7" t="s">
        <v>37</v>
      </c>
      <c r="B7" t="s">
        <v>32</v>
      </c>
      <c r="C7">
        <v>140160</v>
      </c>
      <c r="D7" s="11">
        <f t="shared" si="0"/>
        <v>1.1517005578549577E-2</v>
      </c>
      <c r="E7" s="1">
        <f>'00 - BUDGET'!C$6*D7</f>
        <v>23629.727858333441</v>
      </c>
    </row>
    <row r="8" spans="1:5" x14ac:dyDescent="0.25">
      <c r="A8" t="s">
        <v>38</v>
      </c>
      <c r="B8" t="s">
        <v>32</v>
      </c>
      <c r="C8">
        <v>365000</v>
      </c>
      <c r="D8" s="11">
        <f t="shared" si="0"/>
        <v>2.9992202027472856E-2</v>
      </c>
      <c r="E8" s="1">
        <f>'00 - BUDGET'!C$6*D8</f>
        <v>61535.749631076673</v>
      </c>
    </row>
    <row r="9" spans="1:5" x14ac:dyDescent="0.25">
      <c r="A9" t="s">
        <v>39</v>
      </c>
      <c r="B9" t="s">
        <v>32</v>
      </c>
      <c r="C9">
        <v>1515845</v>
      </c>
      <c r="D9" s="11">
        <f t="shared" si="0"/>
        <v>0.12455761502009477</v>
      </c>
      <c r="E9" s="1">
        <f>'00 - BUDGET'!C$6*D9</f>
        <v>255557.9682178614</v>
      </c>
    </row>
    <row r="10" spans="1:5" x14ac:dyDescent="0.25">
      <c r="A10" t="s">
        <v>40</v>
      </c>
      <c r="B10" t="s">
        <v>32</v>
      </c>
      <c r="C10">
        <v>751170</v>
      </c>
      <c r="D10" s="11">
        <f t="shared" si="0"/>
        <v>6.1723951772539143E-2</v>
      </c>
      <c r="E10" s="1">
        <f>'00 - BUDGET'!C$6*D10</f>
        <v>126640.5727407558</v>
      </c>
    </row>
    <row r="11" spans="1:5" x14ac:dyDescent="0.25">
      <c r="A11" t="s">
        <v>41</v>
      </c>
      <c r="B11" t="s">
        <v>32</v>
      </c>
      <c r="C11">
        <v>1073100</v>
      </c>
      <c r="D11" s="11">
        <f t="shared" si="0"/>
        <v>8.8177073960770194E-2</v>
      </c>
      <c r="E11" s="1">
        <f>'00 - BUDGET'!C$6*D11</f>
        <v>180915.10391536541</v>
      </c>
    </row>
    <row r="12" spans="1:5" x14ac:dyDescent="0.25">
      <c r="A12" t="s">
        <v>42</v>
      </c>
      <c r="B12" t="s">
        <v>32</v>
      </c>
      <c r="C12">
        <v>1073100</v>
      </c>
      <c r="D12" s="11">
        <f t="shared" si="0"/>
        <v>8.8177073960770194E-2</v>
      </c>
      <c r="E12" s="1">
        <f>'00 - BUDGET'!C$6*D12</f>
        <v>180915.10391536541</v>
      </c>
    </row>
    <row r="13" spans="1:5" x14ac:dyDescent="0.25">
      <c r="A13" t="s">
        <v>43</v>
      </c>
      <c r="B13" t="s">
        <v>32</v>
      </c>
      <c r="C13">
        <v>429240</v>
      </c>
      <c r="D13" s="11">
        <f t="shared" si="0"/>
        <v>3.5270829584308078E-2</v>
      </c>
      <c r="E13" s="1">
        <f>'00 - BUDGET'!C$6*D13</f>
        <v>72366.041566146159</v>
      </c>
    </row>
    <row r="14" spans="1:5" x14ac:dyDescent="0.25">
      <c r="A14" t="s">
        <v>44</v>
      </c>
      <c r="B14" t="s">
        <v>32</v>
      </c>
      <c r="C14">
        <v>829280</v>
      </c>
      <c r="D14" s="11">
        <f t="shared" si="0"/>
        <v>6.8142283006418336E-2</v>
      </c>
      <c r="E14" s="1">
        <f>'00 - BUDGET'!C$6*D14</f>
        <v>139809.22316180621</v>
      </c>
    </row>
  </sheetData>
  <autoFilter ref="A1:E5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opLeftCell="E1" zoomScale="70" zoomScaleNormal="70" workbookViewId="0">
      <selection activeCell="M5" sqref="M5"/>
    </sheetView>
  </sheetViews>
  <sheetFormatPr defaultRowHeight="15" x14ac:dyDescent="0.25"/>
  <cols>
    <col min="1" max="1" width="42.140625" customWidth="1"/>
    <col min="2" max="2" width="20.7109375" customWidth="1"/>
    <col min="3" max="3" width="64.42578125" bestFit="1" customWidth="1"/>
    <col min="4" max="4" width="72.42578125" bestFit="1" customWidth="1"/>
    <col min="5" max="5" width="52.5703125" bestFit="1" customWidth="1"/>
    <col min="6" max="6" width="15" bestFit="1" customWidth="1"/>
    <col min="7" max="7" width="15.85546875" bestFit="1" customWidth="1"/>
    <col min="8" max="8" width="35.42578125" bestFit="1" customWidth="1"/>
    <col min="9" max="9" width="41.28515625" customWidth="1"/>
    <col min="12" max="12" width="14.42578125" bestFit="1" customWidth="1"/>
    <col min="13" max="13" width="39.7109375" bestFit="1" customWidth="1"/>
  </cols>
  <sheetData>
    <row r="1" spans="1:13" x14ac:dyDescent="0.25">
      <c r="B1" s="7" t="s">
        <v>12</v>
      </c>
      <c r="C1" s="7" t="s">
        <v>2</v>
      </c>
      <c r="D1" s="7" t="s">
        <v>26</v>
      </c>
      <c r="E1" s="7" t="s">
        <v>27</v>
      </c>
      <c r="F1" s="7" t="s">
        <v>4</v>
      </c>
      <c r="G1" s="7" t="s">
        <v>15</v>
      </c>
      <c r="H1" s="7" t="s">
        <v>16</v>
      </c>
      <c r="I1" s="7" t="s">
        <v>17</v>
      </c>
      <c r="J1" s="7" t="s">
        <v>18</v>
      </c>
      <c r="K1" s="7" t="s">
        <v>19</v>
      </c>
      <c r="L1" s="7" t="s">
        <v>20</v>
      </c>
      <c r="M1" s="7" t="s">
        <v>21</v>
      </c>
    </row>
    <row r="2" spans="1:13" ht="15.75" x14ac:dyDescent="0.25">
      <c r="A2" t="str">
        <f t="shared" ref="A2:A28" si="0">CONCATENATE(B2,E2)</f>
        <v xml:space="preserve">SULCISSRP3 </v>
      </c>
      <c r="B2" t="s">
        <v>23</v>
      </c>
      <c r="C2" t="s">
        <v>34</v>
      </c>
      <c r="D2" t="s">
        <v>45</v>
      </c>
      <c r="E2" t="s">
        <v>46</v>
      </c>
      <c r="F2" t="s">
        <v>32</v>
      </c>
      <c r="G2" s="5">
        <f>VLOOKUP(B2,POPOLAZIONE!A$2:C$9,3,0)</f>
        <v>7.5018914422396693E-2</v>
      </c>
      <c r="H2" s="4">
        <f t="shared" ref="H2:H28" si="1">COUNTIF(A$2:A$33,A2)</f>
        <v>1</v>
      </c>
      <c r="I2" s="4">
        <f t="shared" ref="I2:I28" si="2">COUNTIF(E$2:E$33,E2)</f>
        <v>3</v>
      </c>
      <c r="J2" s="4">
        <f t="shared" ref="J2:J28" si="3">IF(1-(H2/I2)=0,1,1-(H2/I2))</f>
        <v>0.66666666666666674</v>
      </c>
      <c r="K2" s="10">
        <f t="shared" ref="K2:K28" si="4">AVERAGE(J2,G2)</f>
        <v>0.37084279054453173</v>
      </c>
      <c r="L2" s="13">
        <f t="shared" ref="L2:L28" si="5">K2/SUMIF(F$2:F$33,F2,K$2:K$33)</f>
        <v>2.9604702093673413E-2</v>
      </c>
      <c r="M2" s="10">
        <f>'00 - BUDGET'!C$7*L2</f>
        <v>30370.353171637376</v>
      </c>
    </row>
    <row r="3" spans="1:13" ht="15.75" x14ac:dyDescent="0.25">
      <c r="A3" t="str">
        <f t="shared" si="0"/>
        <v>MEDIOCAMPIDANOSRPAE (SRP2)</v>
      </c>
      <c r="B3" t="s">
        <v>24</v>
      </c>
      <c r="C3" t="s">
        <v>35</v>
      </c>
      <c r="D3" t="s">
        <v>47</v>
      </c>
      <c r="E3" t="s">
        <v>48</v>
      </c>
      <c r="F3" t="s">
        <v>32</v>
      </c>
      <c r="G3" s="5">
        <f>VLOOKUP(B3,POPOLAZIONE!A$2:C$9,3,0)</f>
        <v>5.837170289017414E-2</v>
      </c>
      <c r="H3" s="4">
        <f t="shared" si="1"/>
        <v>1</v>
      </c>
      <c r="I3" s="4">
        <f t="shared" si="2"/>
        <v>10</v>
      </c>
      <c r="J3" s="4">
        <f t="shared" si="3"/>
        <v>0.9</v>
      </c>
      <c r="K3" s="10">
        <f t="shared" si="4"/>
        <v>0.47918585144508707</v>
      </c>
      <c r="L3" s="13">
        <f t="shared" si="5"/>
        <v>3.8253822755202081E-2</v>
      </c>
      <c r="M3" s="10">
        <f>'00 - BUDGET'!C$7*L3</f>
        <v>39243.161561452798</v>
      </c>
    </row>
    <row r="4" spans="1:13" ht="15.75" x14ac:dyDescent="0.25">
      <c r="A4" t="str">
        <f t="shared" si="0"/>
        <v>MEDIOCAMPIDANOSRPAI (SRP1)</v>
      </c>
      <c r="B4" t="s">
        <v>24</v>
      </c>
      <c r="C4" t="s">
        <v>35</v>
      </c>
      <c r="D4" t="s">
        <v>49</v>
      </c>
      <c r="E4" t="s">
        <v>50</v>
      </c>
      <c r="F4" t="s">
        <v>32</v>
      </c>
      <c r="G4" s="5">
        <f>VLOOKUP(B4,POPOLAZIONE!A$2:C$9,3,0)</f>
        <v>5.837170289017414E-2</v>
      </c>
      <c r="H4" s="4">
        <f t="shared" si="1"/>
        <v>1</v>
      </c>
      <c r="I4" s="4">
        <f t="shared" si="2"/>
        <v>14</v>
      </c>
      <c r="J4" s="4">
        <f t="shared" si="3"/>
        <v>0.9285714285714286</v>
      </c>
      <c r="K4" s="10">
        <f t="shared" si="4"/>
        <v>0.49347156573080136</v>
      </c>
      <c r="L4" s="13">
        <f t="shared" si="5"/>
        <v>3.9394263735604854E-2</v>
      </c>
      <c r="M4" s="10">
        <f>'00 - BUDGET'!C$7*L4</f>
        <v>40413.097176296978</v>
      </c>
    </row>
    <row r="5" spans="1:13" ht="15.75" x14ac:dyDescent="0.25">
      <c r="A5" t="str">
        <f t="shared" si="0"/>
        <v>OGLIASTRASRPAE (SRP2)</v>
      </c>
      <c r="B5" t="s">
        <v>25</v>
      </c>
      <c r="C5" t="s">
        <v>31</v>
      </c>
      <c r="D5" t="s">
        <v>51</v>
      </c>
      <c r="E5" t="s">
        <v>48</v>
      </c>
      <c r="F5" t="s">
        <v>32</v>
      </c>
      <c r="G5" s="5">
        <f>VLOOKUP(B5,POPOLAZIONE!A$2:C$9,3,0)</f>
        <v>3.4539845648233952E-2</v>
      </c>
      <c r="H5" s="4">
        <f t="shared" si="1"/>
        <v>3</v>
      </c>
      <c r="I5" s="4">
        <f t="shared" si="2"/>
        <v>10</v>
      </c>
      <c r="J5" s="4">
        <f t="shared" si="3"/>
        <v>0.7</v>
      </c>
      <c r="K5" s="10">
        <f t="shared" si="4"/>
        <v>0.36726992282411697</v>
      </c>
      <c r="L5" s="13">
        <f t="shared" si="5"/>
        <v>2.9319476960059068E-2</v>
      </c>
      <c r="M5" s="10">
        <f>'00 - BUDGET'!C$7*L5</f>
        <v>30077.751408110551</v>
      </c>
    </row>
    <row r="6" spans="1:13" ht="15.75" x14ac:dyDescent="0.25">
      <c r="A6" t="str">
        <f t="shared" si="0"/>
        <v>OGLIASTRASRPAI (SRP1)</v>
      </c>
      <c r="B6" t="s">
        <v>25</v>
      </c>
      <c r="C6" t="s">
        <v>31</v>
      </c>
      <c r="D6" t="s">
        <v>52</v>
      </c>
      <c r="E6" t="s">
        <v>50</v>
      </c>
      <c r="F6" t="s">
        <v>32</v>
      </c>
      <c r="G6" s="5">
        <f>VLOOKUP(B6,POPOLAZIONE!A$2:C$9,3,0)</f>
        <v>3.4539845648233952E-2</v>
      </c>
      <c r="H6" s="4">
        <f t="shared" si="1"/>
        <v>3</v>
      </c>
      <c r="I6" s="4">
        <f t="shared" si="2"/>
        <v>14</v>
      </c>
      <c r="J6" s="4">
        <f t="shared" si="3"/>
        <v>0.7857142857142857</v>
      </c>
      <c r="K6" s="10">
        <f t="shared" si="4"/>
        <v>0.41012706568125984</v>
      </c>
      <c r="L6" s="13">
        <f t="shared" si="5"/>
        <v>3.2740799901267388E-2</v>
      </c>
      <c r="M6" s="10">
        <f>'00 - BUDGET'!C$7*L6</f>
        <v>33587.558252643095</v>
      </c>
    </row>
    <row r="7" spans="1:13" ht="15.75" x14ac:dyDescent="0.25">
      <c r="A7" t="str">
        <f t="shared" si="0"/>
        <v>OGLIASTRASRPAI (SRP1)</v>
      </c>
      <c r="B7" t="s">
        <v>25</v>
      </c>
      <c r="C7" t="s">
        <v>31</v>
      </c>
      <c r="D7" t="s">
        <v>53</v>
      </c>
      <c r="E7" t="s">
        <v>50</v>
      </c>
      <c r="F7" t="s">
        <v>32</v>
      </c>
      <c r="G7" s="5">
        <f>VLOOKUP(B7,POPOLAZIONE!A$2:C$9,3,0)</f>
        <v>3.4539845648233952E-2</v>
      </c>
      <c r="H7" s="4">
        <f t="shared" si="1"/>
        <v>3</v>
      </c>
      <c r="I7" s="4">
        <f t="shared" si="2"/>
        <v>14</v>
      </c>
      <c r="J7" s="4">
        <f t="shared" si="3"/>
        <v>0.7857142857142857</v>
      </c>
      <c r="K7" s="10">
        <f t="shared" si="4"/>
        <v>0.41012706568125984</v>
      </c>
      <c r="L7" s="13">
        <f t="shared" si="5"/>
        <v>3.2740799901267388E-2</v>
      </c>
      <c r="M7" s="10">
        <f>'00 - BUDGET'!C$7*L7</f>
        <v>33587.558252643095</v>
      </c>
    </row>
    <row r="8" spans="1:13" ht="15.75" x14ac:dyDescent="0.25">
      <c r="A8" t="str">
        <f t="shared" si="0"/>
        <v>OGLIASTRASRPAE (SRP2)</v>
      </c>
      <c r="B8" t="s">
        <v>25</v>
      </c>
      <c r="C8" t="s">
        <v>31</v>
      </c>
      <c r="D8" t="s">
        <v>53</v>
      </c>
      <c r="E8" t="s">
        <v>48</v>
      </c>
      <c r="F8" t="s">
        <v>32</v>
      </c>
      <c r="G8" s="5">
        <f>VLOOKUP(B8,POPOLAZIONE!A$2:C$9,3,0)</f>
        <v>3.4539845648233952E-2</v>
      </c>
      <c r="H8" s="4">
        <f t="shared" si="1"/>
        <v>3</v>
      </c>
      <c r="I8" s="4">
        <f t="shared" si="2"/>
        <v>10</v>
      </c>
      <c r="J8" s="4">
        <f t="shared" si="3"/>
        <v>0.7</v>
      </c>
      <c r="K8" s="10">
        <f t="shared" si="4"/>
        <v>0.36726992282411697</v>
      </c>
      <c r="L8" s="13">
        <f t="shared" si="5"/>
        <v>2.9319476960059068E-2</v>
      </c>
      <c r="M8" s="10">
        <f>'00 - BUDGET'!C$7*L8</f>
        <v>30077.751408110551</v>
      </c>
    </row>
    <row r="9" spans="1:13" ht="15.75" x14ac:dyDescent="0.25">
      <c r="A9" t="str">
        <f t="shared" si="0"/>
        <v>OGLIASTRASRPAI (SRP1)</v>
      </c>
      <c r="B9" t="s">
        <v>25</v>
      </c>
      <c r="C9" t="s">
        <v>31</v>
      </c>
      <c r="D9" t="s">
        <v>54</v>
      </c>
      <c r="E9" t="s">
        <v>50</v>
      </c>
      <c r="F9" t="s">
        <v>32</v>
      </c>
      <c r="G9" s="5">
        <f>VLOOKUP(B9,POPOLAZIONE!A$2:C$9,3,0)</f>
        <v>3.4539845648233952E-2</v>
      </c>
      <c r="H9" s="4">
        <f t="shared" si="1"/>
        <v>3</v>
      </c>
      <c r="I9" s="4">
        <f t="shared" si="2"/>
        <v>14</v>
      </c>
      <c r="J9" s="4">
        <f t="shared" si="3"/>
        <v>0.7857142857142857</v>
      </c>
      <c r="K9" s="10">
        <f t="shared" si="4"/>
        <v>0.41012706568125984</v>
      </c>
      <c r="L9" s="13">
        <f t="shared" si="5"/>
        <v>3.2740799901267388E-2</v>
      </c>
      <c r="M9" s="10">
        <f>'00 - BUDGET'!C$7*L9</f>
        <v>33587.558252643095</v>
      </c>
    </row>
    <row r="10" spans="1:13" ht="15.75" x14ac:dyDescent="0.25">
      <c r="A10" t="str">
        <f t="shared" si="0"/>
        <v>OGLIASTRASRPAE (SRP2)</v>
      </c>
      <c r="B10" t="s">
        <v>25</v>
      </c>
      <c r="C10" t="s">
        <v>31</v>
      </c>
      <c r="D10" t="s">
        <v>54</v>
      </c>
      <c r="E10" t="s">
        <v>48</v>
      </c>
      <c r="F10" t="s">
        <v>32</v>
      </c>
      <c r="G10" s="5">
        <f>VLOOKUP(B10,POPOLAZIONE!A$2:C$9,3,0)</f>
        <v>3.4539845648233952E-2</v>
      </c>
      <c r="H10" s="4">
        <f t="shared" si="1"/>
        <v>3</v>
      </c>
      <c r="I10" s="4">
        <f t="shared" si="2"/>
        <v>10</v>
      </c>
      <c r="J10" s="4">
        <f t="shared" si="3"/>
        <v>0.7</v>
      </c>
      <c r="K10" s="10">
        <f t="shared" si="4"/>
        <v>0.36726992282411697</v>
      </c>
      <c r="L10" s="13">
        <f t="shared" si="5"/>
        <v>2.9319476960059068E-2</v>
      </c>
      <c r="M10" s="10">
        <f>'00 - BUDGET'!C$7*L10</f>
        <v>30077.751408110551</v>
      </c>
    </row>
    <row r="11" spans="1:13" ht="15.75" x14ac:dyDescent="0.25">
      <c r="A11" t="str">
        <f t="shared" si="0"/>
        <v>NUOROSRPAI (SRP1)</v>
      </c>
      <c r="B11" t="s">
        <v>8</v>
      </c>
      <c r="C11" t="s">
        <v>33</v>
      </c>
      <c r="D11" t="s">
        <v>55</v>
      </c>
      <c r="E11" t="s">
        <v>50</v>
      </c>
      <c r="F11" t="s">
        <v>32</v>
      </c>
      <c r="G11" s="5">
        <f>VLOOKUP(B11,POPOLAZIONE!A$2:C$9,3,0)</f>
        <v>9.2430262319887768E-2</v>
      </c>
      <c r="H11" s="4">
        <f t="shared" si="1"/>
        <v>1</v>
      </c>
      <c r="I11" s="4">
        <f t="shared" si="2"/>
        <v>14</v>
      </c>
      <c r="J11" s="4">
        <f t="shared" si="3"/>
        <v>0.9285714285714286</v>
      </c>
      <c r="K11" s="10">
        <f t="shared" si="4"/>
        <v>0.51050084544565821</v>
      </c>
      <c r="L11" s="13">
        <f t="shared" si="5"/>
        <v>4.0753725927354358E-2</v>
      </c>
      <c r="M11" s="10">
        <f>'00 - BUDGET'!C$7*L11</f>
        <v>41807.718434645794</v>
      </c>
    </row>
    <row r="12" spans="1:13" ht="15.75" x14ac:dyDescent="0.25">
      <c r="A12" t="str">
        <f t="shared" si="0"/>
        <v>SULCISSRPAI (SRP1)</v>
      </c>
      <c r="B12" t="s">
        <v>23</v>
      </c>
      <c r="C12" t="s">
        <v>36</v>
      </c>
      <c r="D12" t="s">
        <v>56</v>
      </c>
      <c r="E12" t="s">
        <v>50</v>
      </c>
      <c r="F12" t="s">
        <v>32</v>
      </c>
      <c r="G12" s="5">
        <f>VLOOKUP(B12,POPOLAZIONE!A$2:C$9,3,0)</f>
        <v>7.5018914422396693E-2</v>
      </c>
      <c r="H12" s="4">
        <f t="shared" si="1"/>
        <v>1</v>
      </c>
      <c r="I12" s="4">
        <f t="shared" si="2"/>
        <v>14</v>
      </c>
      <c r="J12" s="4">
        <f t="shared" si="3"/>
        <v>0.9285714285714286</v>
      </c>
      <c r="K12" s="10">
        <f t="shared" si="4"/>
        <v>0.50179517149691266</v>
      </c>
      <c r="L12" s="13">
        <f t="shared" si="5"/>
        <v>4.0058744414032163E-2</v>
      </c>
      <c r="M12" s="10">
        <f>'00 - BUDGET'!C$7*L12</f>
        <v>41094.762974375692</v>
      </c>
    </row>
    <row r="13" spans="1:13" ht="15.75" x14ac:dyDescent="0.25">
      <c r="A13" t="str">
        <f t="shared" si="0"/>
        <v>SULCISSRPAE (SRP2)</v>
      </c>
      <c r="B13" t="s">
        <v>23</v>
      </c>
      <c r="C13" t="s">
        <v>36</v>
      </c>
      <c r="D13" t="s">
        <v>56</v>
      </c>
      <c r="E13" t="s">
        <v>48</v>
      </c>
      <c r="F13" t="s">
        <v>32</v>
      </c>
      <c r="G13" s="5">
        <f>VLOOKUP(B13,POPOLAZIONE!A$2:C$9,3,0)</f>
        <v>7.5018914422396693E-2</v>
      </c>
      <c r="H13" s="4">
        <f t="shared" si="1"/>
        <v>1</v>
      </c>
      <c r="I13" s="4">
        <f t="shared" si="2"/>
        <v>10</v>
      </c>
      <c r="J13" s="4">
        <f t="shared" si="3"/>
        <v>0.9</v>
      </c>
      <c r="K13" s="10">
        <f t="shared" si="4"/>
        <v>0.48750945721119837</v>
      </c>
      <c r="L13" s="13">
        <f t="shared" si="5"/>
        <v>3.8918303433629391E-2</v>
      </c>
      <c r="M13" s="10">
        <f>'00 - BUDGET'!C$7*L13</f>
        <v>39924.827359531511</v>
      </c>
    </row>
    <row r="14" spans="1:13" ht="15.75" x14ac:dyDescent="0.25">
      <c r="A14" t="str">
        <f t="shared" si="0"/>
        <v>CAGLIARISRPAI (SRP1)</v>
      </c>
      <c r="B14" t="s">
        <v>9</v>
      </c>
      <c r="C14" t="s">
        <v>39</v>
      </c>
      <c r="D14" t="s">
        <v>57</v>
      </c>
      <c r="E14" t="s">
        <v>50</v>
      </c>
      <c r="F14" t="s">
        <v>32</v>
      </c>
      <c r="G14" s="5">
        <f>VLOOKUP(B14,POPOLAZIONE!A$2:C$9,3,0)</f>
        <v>0.34343362439390379</v>
      </c>
      <c r="H14" s="4">
        <f t="shared" si="1"/>
        <v>4</v>
      </c>
      <c r="I14" s="4">
        <f t="shared" si="2"/>
        <v>14</v>
      </c>
      <c r="J14" s="4">
        <f t="shared" si="3"/>
        <v>0.7142857142857143</v>
      </c>
      <c r="K14" s="10">
        <f t="shared" si="4"/>
        <v>0.5288596693398091</v>
      </c>
      <c r="L14" s="13">
        <f t="shared" si="5"/>
        <v>4.2219326785816469E-2</v>
      </c>
      <c r="M14" s="10">
        <f>'00 - BUDGET'!C$7*L14</f>
        <v>43311.223369075153</v>
      </c>
    </row>
    <row r="15" spans="1:13" ht="15.75" x14ac:dyDescent="0.25">
      <c r="A15" t="str">
        <f t="shared" si="0"/>
        <v>CAGLIARISRPAE (SRP2)</v>
      </c>
      <c r="B15" t="s">
        <v>9</v>
      </c>
      <c r="C15" t="s">
        <v>39</v>
      </c>
      <c r="D15" t="s">
        <v>57</v>
      </c>
      <c r="E15" t="s">
        <v>48</v>
      </c>
      <c r="F15" t="s">
        <v>32</v>
      </c>
      <c r="G15" s="5">
        <f>VLOOKUP(B15,POPOLAZIONE!A$2:C$9,3,0)</f>
        <v>0.34343362439390379</v>
      </c>
      <c r="H15" s="4">
        <f t="shared" si="1"/>
        <v>1</v>
      </c>
      <c r="I15" s="4">
        <f t="shared" si="2"/>
        <v>10</v>
      </c>
      <c r="J15" s="4">
        <f t="shared" si="3"/>
        <v>0.9</v>
      </c>
      <c r="K15" s="10">
        <f t="shared" si="4"/>
        <v>0.62171681219695185</v>
      </c>
      <c r="L15" s="13">
        <f t="shared" si="5"/>
        <v>4.9632193158434486E-2</v>
      </c>
      <c r="M15" s="10">
        <f>'00 - BUDGET'!C$7*L15</f>
        <v>50915.804865562321</v>
      </c>
    </row>
    <row r="16" spans="1:13" ht="15.75" x14ac:dyDescent="0.25">
      <c r="A16" t="str">
        <f t="shared" si="0"/>
        <v>ORISTANOSRPAI (SRP1)</v>
      </c>
      <c r="B16" t="s">
        <v>10</v>
      </c>
      <c r="C16" t="s">
        <v>39</v>
      </c>
      <c r="D16" t="s">
        <v>58</v>
      </c>
      <c r="E16" t="s">
        <v>50</v>
      </c>
      <c r="F16" t="s">
        <v>32</v>
      </c>
      <c r="G16" s="5">
        <f>VLOOKUP(B16,POPOLAZIONE!A$2:C$9,3,0)</f>
        <v>9.6021640241071474E-2</v>
      </c>
      <c r="H16" s="4">
        <f t="shared" si="1"/>
        <v>3</v>
      </c>
      <c r="I16" s="4">
        <f t="shared" si="2"/>
        <v>14</v>
      </c>
      <c r="J16" s="4">
        <f t="shared" si="3"/>
        <v>0.7857142857142857</v>
      </c>
      <c r="K16" s="10">
        <f t="shared" si="4"/>
        <v>0.44086796297767861</v>
      </c>
      <c r="L16" s="13">
        <f t="shared" si="5"/>
        <v>3.5194872434850602E-2</v>
      </c>
      <c r="M16" s="10">
        <f>'00 - BUDGET'!C$7*L16</f>
        <v>36105.09919319742</v>
      </c>
    </row>
    <row r="17" spans="1:13" ht="15.75" x14ac:dyDescent="0.25">
      <c r="A17" t="str">
        <f t="shared" si="0"/>
        <v>ORISTANOSRPAE (SRP2)</v>
      </c>
      <c r="B17" t="s">
        <v>10</v>
      </c>
      <c r="C17" t="s">
        <v>39</v>
      </c>
      <c r="D17" t="s">
        <v>58</v>
      </c>
      <c r="E17" t="s">
        <v>48</v>
      </c>
      <c r="F17" t="s">
        <v>32</v>
      </c>
      <c r="G17" s="5">
        <f>VLOOKUP(B17,POPOLAZIONE!A$2:C$9,3,0)</f>
        <v>9.6021640241071474E-2</v>
      </c>
      <c r="H17" s="4">
        <f t="shared" si="1"/>
        <v>2</v>
      </c>
      <c r="I17" s="4">
        <f t="shared" si="2"/>
        <v>10</v>
      </c>
      <c r="J17" s="4">
        <f t="shared" si="3"/>
        <v>0.8</v>
      </c>
      <c r="K17" s="10">
        <f t="shared" si="4"/>
        <v>0.44801082012053578</v>
      </c>
      <c r="L17" s="13">
        <f t="shared" si="5"/>
        <v>3.5765092925051992E-2</v>
      </c>
      <c r="M17" s="10">
        <f>'00 - BUDGET'!C$7*L17</f>
        <v>36690.067000619514</v>
      </c>
    </row>
    <row r="18" spans="1:13" ht="15.75" x14ac:dyDescent="0.25">
      <c r="A18" t="str">
        <f t="shared" si="0"/>
        <v>ORISTANOSRPAI (SRP1)</v>
      </c>
      <c r="B18" t="s">
        <v>10</v>
      </c>
      <c r="C18" t="s">
        <v>39</v>
      </c>
      <c r="D18" t="s">
        <v>59</v>
      </c>
      <c r="E18" t="s">
        <v>50</v>
      </c>
      <c r="F18" t="s">
        <v>32</v>
      </c>
      <c r="G18" s="5">
        <f>VLOOKUP(B18,POPOLAZIONE!A$2:C$9,3,0)</f>
        <v>9.6021640241071474E-2</v>
      </c>
      <c r="H18" s="4">
        <f t="shared" si="1"/>
        <v>3</v>
      </c>
      <c r="I18" s="4">
        <f t="shared" si="2"/>
        <v>14</v>
      </c>
      <c r="J18" s="4">
        <f t="shared" si="3"/>
        <v>0.7857142857142857</v>
      </c>
      <c r="K18" s="10">
        <f t="shared" si="4"/>
        <v>0.44086796297767861</v>
      </c>
      <c r="L18" s="13">
        <f t="shared" si="5"/>
        <v>3.5194872434850602E-2</v>
      </c>
      <c r="M18" s="10">
        <f>'00 - BUDGET'!C$7*L18</f>
        <v>36105.09919319742</v>
      </c>
    </row>
    <row r="19" spans="1:13" ht="15.75" x14ac:dyDescent="0.25">
      <c r="A19" t="str">
        <f t="shared" si="0"/>
        <v>ORISTANOSRPAE (SRP2)</v>
      </c>
      <c r="B19" t="s">
        <v>10</v>
      </c>
      <c r="C19" t="s">
        <v>39</v>
      </c>
      <c r="D19" t="s">
        <v>59</v>
      </c>
      <c r="E19" t="s">
        <v>48</v>
      </c>
      <c r="F19" t="s">
        <v>32</v>
      </c>
      <c r="G19" s="5">
        <f>VLOOKUP(B19,POPOLAZIONE!A$2:C$9,3,0)</f>
        <v>9.6021640241071474E-2</v>
      </c>
      <c r="H19" s="4">
        <f t="shared" si="1"/>
        <v>2</v>
      </c>
      <c r="I19" s="4">
        <f t="shared" si="2"/>
        <v>10</v>
      </c>
      <c r="J19" s="4">
        <f t="shared" si="3"/>
        <v>0.8</v>
      </c>
      <c r="K19" s="10">
        <f t="shared" si="4"/>
        <v>0.44801082012053578</v>
      </c>
      <c r="L19" s="13">
        <f t="shared" si="5"/>
        <v>3.5765092925051992E-2</v>
      </c>
      <c r="M19" s="10">
        <f>'00 - BUDGET'!C$7*L19</f>
        <v>36690.067000619514</v>
      </c>
    </row>
    <row r="20" spans="1:13" ht="15.75" x14ac:dyDescent="0.25">
      <c r="A20" t="str">
        <f t="shared" si="0"/>
        <v>CAGLIARISRPAI (SRP1)</v>
      </c>
      <c r="B20" t="s">
        <v>9</v>
      </c>
      <c r="C20" t="s">
        <v>41</v>
      </c>
      <c r="D20" t="s">
        <v>60</v>
      </c>
      <c r="E20" t="s">
        <v>50</v>
      </c>
      <c r="F20" t="s">
        <v>32</v>
      </c>
      <c r="G20" s="5">
        <f>VLOOKUP(B20,POPOLAZIONE!A$2:C$9,3,0)</f>
        <v>0.34343362439390379</v>
      </c>
      <c r="H20" s="4">
        <f t="shared" si="1"/>
        <v>4</v>
      </c>
      <c r="I20" s="4">
        <f t="shared" si="2"/>
        <v>14</v>
      </c>
      <c r="J20" s="4">
        <f t="shared" si="3"/>
        <v>0.7142857142857143</v>
      </c>
      <c r="K20" s="10">
        <f t="shared" si="4"/>
        <v>0.5288596693398091</v>
      </c>
      <c r="L20" s="13">
        <f t="shared" si="5"/>
        <v>4.2219326785816469E-2</v>
      </c>
      <c r="M20" s="10">
        <f>'00 - BUDGET'!C$7*L20</f>
        <v>43311.223369075153</v>
      </c>
    </row>
    <row r="21" spans="1:13" ht="15.75" x14ac:dyDescent="0.25">
      <c r="A21" t="str">
        <f t="shared" si="0"/>
        <v>CAGLIARISRPAI (SRP1)</v>
      </c>
      <c r="B21" t="s">
        <v>9</v>
      </c>
      <c r="C21" t="s">
        <v>42</v>
      </c>
      <c r="D21" t="s">
        <v>61</v>
      </c>
      <c r="E21" t="s">
        <v>50</v>
      </c>
      <c r="F21" t="s">
        <v>32</v>
      </c>
      <c r="G21" s="5">
        <f>VLOOKUP(B21,POPOLAZIONE!A$2:C$9,3,0)</f>
        <v>0.34343362439390379</v>
      </c>
      <c r="H21" s="4">
        <f t="shared" si="1"/>
        <v>4</v>
      </c>
      <c r="I21" s="4">
        <f t="shared" si="2"/>
        <v>14</v>
      </c>
      <c r="J21" s="4">
        <f t="shared" si="3"/>
        <v>0.7142857142857143</v>
      </c>
      <c r="K21" s="10">
        <f t="shared" si="4"/>
        <v>0.5288596693398091</v>
      </c>
      <c r="L21" s="13">
        <f t="shared" si="5"/>
        <v>4.2219326785816469E-2</v>
      </c>
      <c r="M21" s="10">
        <f>'00 - BUDGET'!C$7*L21</f>
        <v>43311.223369075153</v>
      </c>
    </row>
    <row r="22" spans="1:13" ht="15.75" x14ac:dyDescent="0.25">
      <c r="A22" t="str">
        <f t="shared" si="0"/>
        <v>ORISTANOSRPAI (SRP1)</v>
      </c>
      <c r="B22" t="s">
        <v>10</v>
      </c>
      <c r="C22" t="s">
        <v>40</v>
      </c>
      <c r="D22" t="s">
        <v>62</v>
      </c>
      <c r="E22" t="s">
        <v>50</v>
      </c>
      <c r="F22" t="s">
        <v>32</v>
      </c>
      <c r="G22" s="5">
        <f>VLOOKUP(B22,POPOLAZIONE!A$2:C$9,3,0)</f>
        <v>9.6021640241071474E-2</v>
      </c>
      <c r="H22" s="4">
        <f t="shared" si="1"/>
        <v>3</v>
      </c>
      <c r="I22" s="4">
        <f t="shared" si="2"/>
        <v>14</v>
      </c>
      <c r="J22" s="4">
        <f t="shared" si="3"/>
        <v>0.7857142857142857</v>
      </c>
      <c r="K22" s="10">
        <f t="shared" si="4"/>
        <v>0.44086796297767861</v>
      </c>
      <c r="L22" s="13">
        <f t="shared" si="5"/>
        <v>3.5194872434850602E-2</v>
      </c>
      <c r="M22" s="10">
        <f>'00 - BUDGET'!C$7*L22</f>
        <v>36105.09919319742</v>
      </c>
    </row>
    <row r="23" spans="1:13" ht="15.75" x14ac:dyDescent="0.25">
      <c r="A23" t="str">
        <f t="shared" si="0"/>
        <v>NUOROSRPAE (SRP2)</v>
      </c>
      <c r="B23" t="s">
        <v>8</v>
      </c>
      <c r="C23" t="s">
        <v>38</v>
      </c>
      <c r="D23" t="s">
        <v>63</v>
      </c>
      <c r="E23" t="s">
        <v>48</v>
      </c>
      <c r="F23" t="s">
        <v>32</v>
      </c>
      <c r="G23" s="5">
        <f>VLOOKUP(B23,POPOLAZIONE!A$2:C$9,3,0)</f>
        <v>9.2430262319887768E-2</v>
      </c>
      <c r="H23" s="4">
        <f t="shared" si="1"/>
        <v>1</v>
      </c>
      <c r="I23" s="4">
        <f t="shared" si="2"/>
        <v>10</v>
      </c>
      <c r="J23" s="4">
        <f t="shared" si="3"/>
        <v>0.9</v>
      </c>
      <c r="K23" s="10">
        <f t="shared" si="4"/>
        <v>0.49621513115994387</v>
      </c>
      <c r="L23" s="13">
        <f t="shared" si="5"/>
        <v>3.9613284946951578E-2</v>
      </c>
      <c r="M23" s="10">
        <f>'00 - BUDGET'!C$7*L23</f>
        <v>40637.782819801607</v>
      </c>
    </row>
    <row r="24" spans="1:13" ht="15.75" x14ac:dyDescent="0.25">
      <c r="A24" t="str">
        <f t="shared" si="0"/>
        <v>CAGLIARISRPAI (SRP1)</v>
      </c>
      <c r="B24" t="s">
        <v>9</v>
      </c>
      <c r="C24" t="s">
        <v>43</v>
      </c>
      <c r="D24" t="s">
        <v>64</v>
      </c>
      <c r="E24" t="s">
        <v>50</v>
      </c>
      <c r="F24" t="s">
        <v>32</v>
      </c>
      <c r="G24" s="5">
        <f>VLOOKUP(B24,POPOLAZIONE!A$2:C$9,3,0)</f>
        <v>0.34343362439390379</v>
      </c>
      <c r="H24" s="4">
        <f t="shared" si="1"/>
        <v>4</v>
      </c>
      <c r="I24" s="4">
        <f t="shared" si="2"/>
        <v>14</v>
      </c>
      <c r="J24" s="4">
        <f t="shared" si="3"/>
        <v>0.7142857142857143</v>
      </c>
      <c r="K24" s="10">
        <f t="shared" si="4"/>
        <v>0.5288596693398091</v>
      </c>
      <c r="L24" s="13">
        <f t="shared" si="5"/>
        <v>4.2219326785816469E-2</v>
      </c>
      <c r="M24" s="10">
        <f>'00 - BUDGET'!C$7*L24</f>
        <v>43311.223369075153</v>
      </c>
    </row>
    <row r="25" spans="1:13" ht="15.75" x14ac:dyDescent="0.25">
      <c r="A25" t="str">
        <f t="shared" si="0"/>
        <v>SASSARISRPAI (SRP1)</v>
      </c>
      <c r="B25" t="s">
        <v>11</v>
      </c>
      <c r="C25" t="s">
        <v>44</v>
      </c>
      <c r="D25" t="s">
        <v>65</v>
      </c>
      <c r="E25" t="s">
        <v>50</v>
      </c>
      <c r="F25" t="s">
        <v>32</v>
      </c>
      <c r="G25" s="5">
        <f>VLOOKUP(B25,POPOLAZIONE!A$2:C$9,3,0)</f>
        <v>0.20051177607843707</v>
      </c>
      <c r="H25" s="4">
        <f t="shared" si="1"/>
        <v>1</v>
      </c>
      <c r="I25" s="4">
        <f t="shared" si="2"/>
        <v>14</v>
      </c>
      <c r="J25" s="4">
        <f t="shared" si="3"/>
        <v>0.9285714285714286</v>
      </c>
      <c r="K25" s="10">
        <f t="shared" si="4"/>
        <v>0.56454160232493278</v>
      </c>
      <c r="L25" s="13">
        <f t="shared" si="5"/>
        <v>4.5067846490351907E-2</v>
      </c>
      <c r="M25" s="10">
        <f>'00 - BUDGET'!C$7*L25</f>
        <v>46233.412863479723</v>
      </c>
    </row>
    <row r="26" spans="1:13" ht="15.75" x14ac:dyDescent="0.25">
      <c r="A26" t="str">
        <f t="shared" si="0"/>
        <v>SASSARISRPAE (SRP2)</v>
      </c>
      <c r="B26" t="s">
        <v>11</v>
      </c>
      <c r="C26" t="s">
        <v>44</v>
      </c>
      <c r="D26" t="s">
        <v>65</v>
      </c>
      <c r="E26" t="s">
        <v>48</v>
      </c>
      <c r="F26" t="s">
        <v>32</v>
      </c>
      <c r="G26" s="5">
        <f>VLOOKUP(B26,POPOLAZIONE!A$2:C$9,3,0)</f>
        <v>0.20051177607843707</v>
      </c>
      <c r="H26" s="4">
        <f t="shared" si="1"/>
        <v>1</v>
      </c>
      <c r="I26" s="4">
        <f t="shared" si="2"/>
        <v>10</v>
      </c>
      <c r="J26" s="4">
        <f t="shared" si="3"/>
        <v>0.9</v>
      </c>
      <c r="K26" s="10">
        <f t="shared" si="4"/>
        <v>0.55025588803921854</v>
      </c>
      <c r="L26" s="13">
        <f t="shared" si="5"/>
        <v>4.3927405509949134E-2</v>
      </c>
      <c r="M26" s="10">
        <f>'00 - BUDGET'!C$7*L26</f>
        <v>45063.477248635543</v>
      </c>
    </row>
    <row r="27" spans="1:13" ht="15.75" x14ac:dyDescent="0.25">
      <c r="A27" t="str">
        <f t="shared" si="0"/>
        <v xml:space="preserve">SASSARISRP3 </v>
      </c>
      <c r="B27" t="s">
        <v>11</v>
      </c>
      <c r="C27" t="s">
        <v>44</v>
      </c>
      <c r="D27" t="s">
        <v>65</v>
      </c>
      <c r="E27" t="s">
        <v>46</v>
      </c>
      <c r="F27" t="s">
        <v>32</v>
      </c>
      <c r="G27" s="5">
        <f>VLOOKUP(B27,POPOLAZIONE!A$2:C$9,3,0)</f>
        <v>0.20051177607843707</v>
      </c>
      <c r="H27" s="4">
        <f t="shared" si="1"/>
        <v>1</v>
      </c>
      <c r="I27" s="4">
        <f t="shared" si="2"/>
        <v>3</v>
      </c>
      <c r="J27" s="4">
        <f t="shared" si="3"/>
        <v>0.66666666666666674</v>
      </c>
      <c r="K27" s="10">
        <f t="shared" si="4"/>
        <v>0.4335892213725519</v>
      </c>
      <c r="L27" s="13">
        <f t="shared" si="5"/>
        <v>3.4613804169993156E-2</v>
      </c>
      <c r="M27" s="10">
        <f>'00 - BUDGET'!C$7*L27</f>
        <v>35509.003060741408</v>
      </c>
    </row>
    <row r="28" spans="1:13" ht="15.75" x14ac:dyDescent="0.25">
      <c r="A28" t="str">
        <f t="shared" si="0"/>
        <v xml:space="preserve">OGLIASTRASRP3 </v>
      </c>
      <c r="B28" t="s">
        <v>25</v>
      </c>
      <c r="C28" t="s">
        <v>37</v>
      </c>
      <c r="D28" t="s">
        <v>37</v>
      </c>
      <c r="E28" t="s">
        <v>46</v>
      </c>
      <c r="F28" t="s">
        <v>32</v>
      </c>
      <c r="G28" s="5">
        <f>VLOOKUP(B28,POPOLAZIONE!A$2:C$9,3,0)</f>
        <v>3.4539845648233952E-2</v>
      </c>
      <c r="H28" s="4">
        <f t="shared" si="1"/>
        <v>1</v>
      </c>
      <c r="I28" s="4">
        <f t="shared" si="2"/>
        <v>3</v>
      </c>
      <c r="J28" s="4">
        <f t="shared" si="3"/>
        <v>0.66666666666666674</v>
      </c>
      <c r="K28" s="10">
        <f t="shared" si="4"/>
        <v>0.35060325615745036</v>
      </c>
      <c r="L28" s="13">
        <f t="shared" si="5"/>
        <v>2.7988962482922503E-2</v>
      </c>
      <c r="M28" s="10">
        <f>'00 - BUDGET'!C$7*L28</f>
        <v>28712.826524125678</v>
      </c>
    </row>
  </sheetData>
  <autoFilter ref="A1:M28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A11" sqref="A11:XFD11"/>
    </sheetView>
  </sheetViews>
  <sheetFormatPr defaultRowHeight="15" x14ac:dyDescent="0.25"/>
  <cols>
    <col min="1" max="1" width="72.42578125" bestFit="1" customWidth="1"/>
    <col min="2" max="2" width="15.28515625" bestFit="1" customWidth="1"/>
    <col min="3" max="3" width="14.7109375" bestFit="1" customWidth="1"/>
  </cols>
  <sheetData>
    <row r="1" spans="1:3" x14ac:dyDescent="0.25">
      <c r="A1" s="7" t="s">
        <v>2</v>
      </c>
      <c r="B1" s="7" t="s">
        <v>4</v>
      </c>
      <c r="C1" s="7" t="s">
        <v>0</v>
      </c>
    </row>
    <row r="2" spans="1:3" x14ac:dyDescent="0.25">
      <c r="A2" t="s">
        <v>31</v>
      </c>
      <c r="B2" t="s">
        <v>32</v>
      </c>
      <c r="C2" s="2">
        <f ca="1">SUMIF('03_1 - CAPILLARIZZAZIONE'!C$2:C$28,A2,'03_1 - CAPILLARIZZAZIONE'!M$2:M$15)</f>
        <v>190995.92898226093</v>
      </c>
    </row>
    <row r="3" spans="1:3" x14ac:dyDescent="0.25">
      <c r="A3" t="s">
        <v>33</v>
      </c>
      <c r="B3" t="s">
        <v>32</v>
      </c>
      <c r="C3" s="2">
        <f ca="1">SUMIF('03_1 - CAPILLARIZZAZIONE'!C$2:C$28,A3,'03_1 - CAPILLARIZZAZIONE'!M$2:M$15)</f>
        <v>41807.718434645794</v>
      </c>
    </row>
    <row r="4" spans="1:3" x14ac:dyDescent="0.25">
      <c r="A4" t="s">
        <v>34</v>
      </c>
      <c r="B4" t="s">
        <v>32</v>
      </c>
      <c r="C4" s="2">
        <f ca="1">SUMIF('03_1 - CAPILLARIZZAZIONE'!C$2:C$28,A4,'03_1 - CAPILLARIZZAZIONE'!M$2:M$15)</f>
        <v>30370.353171637376</v>
      </c>
    </row>
    <row r="5" spans="1:3" x14ac:dyDescent="0.25">
      <c r="A5" t="s">
        <v>35</v>
      </c>
      <c r="B5" t="s">
        <v>32</v>
      </c>
      <c r="C5" s="2">
        <f ca="1">SUMIF('03_1 - CAPILLARIZZAZIONE'!C$2:C$28,A5,'03_1 - CAPILLARIZZAZIONE'!M$2:M$15)</f>
        <v>79656.258737749769</v>
      </c>
    </row>
    <row r="6" spans="1:3" x14ac:dyDescent="0.25">
      <c r="A6" t="s">
        <v>36</v>
      </c>
      <c r="B6" t="s">
        <v>32</v>
      </c>
      <c r="C6" s="2">
        <f ca="1">SUMIF('03_1 - CAPILLARIZZAZIONE'!C$2:C$28,A6,'03_1 - CAPILLARIZZAZIONE'!M$2:M$15)</f>
        <v>81019.590333907196</v>
      </c>
    </row>
    <row r="7" spans="1:3" x14ac:dyDescent="0.25">
      <c r="A7" t="s">
        <v>37</v>
      </c>
      <c r="B7" t="s">
        <v>32</v>
      </c>
      <c r="C7" s="2">
        <f ca="1">SUMIF('03_1 - CAPILLARIZZAZIONE'!C$2:C$28,A7,'03_1 - CAPILLARIZZAZIONE'!M$2:M$15)</f>
        <v>28712.826524125678</v>
      </c>
    </row>
    <row r="8" spans="1:3" x14ac:dyDescent="0.25">
      <c r="A8" t="s">
        <v>38</v>
      </c>
      <c r="B8" t="s">
        <v>32</v>
      </c>
      <c r="C8" s="2">
        <f ca="1">SUMIF('03_1 - CAPILLARIZZAZIONE'!C$2:C$28,A8,'03_1 - CAPILLARIZZAZIONE'!M$2:M$15)</f>
        <v>40637.782819801607</v>
      </c>
    </row>
    <row r="9" spans="1:3" x14ac:dyDescent="0.25">
      <c r="A9" t="s">
        <v>39</v>
      </c>
      <c r="B9" t="s">
        <v>32</v>
      </c>
      <c r="C9" s="2">
        <f ca="1">SUMIF('03_1 - CAPILLARIZZAZIONE'!C$2:C$28,A9,'03_1 - CAPILLARIZZAZIONE'!M$2:M$15)</f>
        <v>239817.36062227134</v>
      </c>
    </row>
    <row r="10" spans="1:3" x14ac:dyDescent="0.25">
      <c r="A10" t="s">
        <v>40</v>
      </c>
      <c r="B10" t="s">
        <v>32</v>
      </c>
      <c r="C10" s="2">
        <f ca="1">SUMIF('03_1 - CAPILLARIZZAZIONE'!C$2:C$28,A10,'03_1 - CAPILLARIZZAZIONE'!M$2:M$15)</f>
        <v>36105.09919319742</v>
      </c>
    </row>
    <row r="11" spans="1:3" x14ac:dyDescent="0.25">
      <c r="A11" t="s">
        <v>41</v>
      </c>
      <c r="B11" t="s">
        <v>32</v>
      </c>
      <c r="C11" s="2">
        <f ca="1">SUMIF('03_1 - CAPILLARIZZAZIONE'!C$2:C$28,A11,'03_1 - CAPILLARIZZAZIONE'!M$2:M$15)</f>
        <v>43311.223369075153</v>
      </c>
    </row>
    <row r="12" spans="1:3" x14ac:dyDescent="0.25">
      <c r="A12" t="s">
        <v>42</v>
      </c>
      <c r="B12" t="s">
        <v>32</v>
      </c>
      <c r="C12" s="2">
        <f ca="1">SUMIF('03_1 - CAPILLARIZZAZIONE'!C$2:C$28,A12,'03_1 - CAPILLARIZZAZIONE'!M$2:M$15)</f>
        <v>43311.223369075153</v>
      </c>
    </row>
    <row r="13" spans="1:3" x14ac:dyDescent="0.25">
      <c r="A13" t="s">
        <v>43</v>
      </c>
      <c r="B13" t="s">
        <v>32</v>
      </c>
      <c r="C13" s="2">
        <f ca="1">SUMIF('03_1 - CAPILLARIZZAZIONE'!C$2:C$28,A13,'03_1 - CAPILLARIZZAZIONE'!M$2:M$15)</f>
        <v>43311.223369075153</v>
      </c>
    </row>
    <row r="14" spans="1:3" x14ac:dyDescent="0.25">
      <c r="A14" t="s">
        <v>44</v>
      </c>
      <c r="B14" t="s">
        <v>32</v>
      </c>
      <c r="C14" s="2">
        <f ca="1">SUMIF('03_1 - CAPILLARIZZAZIONE'!C$2:C$28,A14,'03_1 - CAPILLARIZZAZIONE'!M$2:M$15)</f>
        <v>126805.89317285668</v>
      </c>
    </row>
  </sheetData>
  <autoFilter ref="A1:C5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>
      <pane xSplit="1" topLeftCell="E1" activePane="topRight" state="frozen"/>
      <selection pane="topRight" activeCell="J3" sqref="J3"/>
    </sheetView>
  </sheetViews>
  <sheetFormatPr defaultRowHeight="15" x14ac:dyDescent="0.25"/>
  <cols>
    <col min="1" max="1" width="72.42578125" bestFit="1" customWidth="1"/>
    <col min="2" max="2" width="15.28515625" customWidth="1"/>
    <col min="3" max="3" width="15.7109375" bestFit="1" customWidth="1"/>
    <col min="4" max="4" width="15.7109375" customWidth="1"/>
    <col min="5" max="5" width="18.140625" bestFit="1" customWidth="1"/>
    <col min="6" max="7" width="14.7109375" customWidth="1"/>
    <col min="8" max="8" width="18.85546875" bestFit="1" customWidth="1"/>
    <col min="9" max="9" width="23.28515625" customWidth="1"/>
    <col min="10" max="10" width="12" bestFit="1" customWidth="1"/>
  </cols>
  <sheetData>
    <row r="1" spans="1:10" x14ac:dyDescent="0.25">
      <c r="A1" s="15"/>
      <c r="B1" s="15"/>
      <c r="C1" s="15"/>
      <c r="D1" s="15"/>
      <c r="E1" s="15"/>
      <c r="F1" s="18" t="s">
        <v>5</v>
      </c>
      <c r="G1" s="18"/>
      <c r="H1" s="18"/>
      <c r="I1" s="15"/>
    </row>
    <row r="2" spans="1:10" x14ac:dyDescent="0.25">
      <c r="A2" s="16" t="s">
        <v>2</v>
      </c>
      <c r="B2" s="16" t="s">
        <v>4</v>
      </c>
      <c r="C2" s="16" t="s">
        <v>3</v>
      </c>
      <c r="D2" s="16" t="s">
        <v>1</v>
      </c>
      <c r="E2" s="16" t="s">
        <v>22</v>
      </c>
      <c r="F2" s="16" t="s">
        <v>1</v>
      </c>
      <c r="G2" s="16" t="s">
        <v>3</v>
      </c>
      <c r="H2" s="16" t="s">
        <v>6</v>
      </c>
      <c r="I2" s="16" t="s">
        <v>66</v>
      </c>
    </row>
    <row r="3" spans="1:10" x14ac:dyDescent="0.25">
      <c r="A3" s="15" t="s">
        <v>31</v>
      </c>
      <c r="B3" s="15" t="s">
        <v>32</v>
      </c>
      <c r="C3" s="17">
        <v>3209080</v>
      </c>
      <c r="D3" s="17">
        <v>2506580.83</v>
      </c>
      <c r="E3" s="17">
        <v>2455612.21</v>
      </c>
      <c r="F3" s="17">
        <f>VLOOKUP(A3,'01 - FATTURATO'!A$1:E$152,5,0)</f>
        <v>1737835.5582599489</v>
      </c>
      <c r="G3" s="17">
        <f>VLOOKUP(A3,'02 - CAPACITA'!A$1:E$14,5,0)</f>
        <v>541022.31075642607</v>
      </c>
      <c r="H3" s="17">
        <f ca="1">VLOOKUP(A3,'03 - CAPILLARIZZAZIONE'!A$1:C$14,3,0)</f>
        <v>190995.92898226093</v>
      </c>
      <c r="I3" s="17">
        <f t="shared" ref="I3" ca="1" si="0">F3+G3+H3</f>
        <v>2469853.797998636</v>
      </c>
      <c r="J3" s="2"/>
    </row>
    <row r="4" spans="1:10" x14ac:dyDescent="0.25">
      <c r="A4" s="15" t="s">
        <v>33</v>
      </c>
      <c r="B4" s="15" t="s">
        <v>32</v>
      </c>
      <c r="C4" s="17">
        <v>429240</v>
      </c>
      <c r="D4" s="17">
        <v>329749.90000000002</v>
      </c>
      <c r="E4" s="17">
        <v>335634.7</v>
      </c>
      <c r="F4" s="17">
        <f>VLOOKUP(A4,'01 - FATTURATO'!A$1:E$152,5,0)</f>
        <v>228618.64045799087</v>
      </c>
      <c r="G4" s="17">
        <f>VLOOKUP(A4,'02 - CAPACITA'!A$1:E$14,5,0)</f>
        <v>72366.041566146159</v>
      </c>
      <c r="H4" s="17">
        <f ca="1">VLOOKUP(A4,'03 - CAPILLARIZZAZIONE'!A$1:C$14,3,0)</f>
        <v>41807.718434645794</v>
      </c>
      <c r="I4" s="17">
        <f t="shared" ref="I4:I15" ca="1" si="1">F4+G4+H4</f>
        <v>342792.40045878279</v>
      </c>
      <c r="J4" s="2"/>
    </row>
    <row r="5" spans="1:10" x14ac:dyDescent="0.25">
      <c r="A5" s="15" t="s">
        <v>34</v>
      </c>
      <c r="B5" s="15" t="s">
        <v>32</v>
      </c>
      <c r="C5" s="17">
        <v>52560</v>
      </c>
      <c r="D5" s="17">
        <v>0</v>
      </c>
      <c r="E5" s="17">
        <v>35040</v>
      </c>
      <c r="F5" s="17">
        <f>VLOOKUP(A5,'01 - FATTURATO'!A$1:E$152,5,0)</f>
        <v>0</v>
      </c>
      <c r="G5" s="17">
        <f>VLOOKUP(A5,'02 - CAPACITA'!A$1:E$14,5,0)</f>
        <v>8861.1479468750404</v>
      </c>
      <c r="H5" s="17">
        <f ca="1">VLOOKUP(A5,'03 - CAPILLARIZZAZIONE'!A$1:C$14,3,0)</f>
        <v>30370.353171637376</v>
      </c>
      <c r="I5" s="17">
        <f t="shared" ca="1" si="1"/>
        <v>39231.501118512417</v>
      </c>
      <c r="J5" s="2"/>
    </row>
    <row r="6" spans="1:10" x14ac:dyDescent="0.25">
      <c r="A6" s="15" t="s">
        <v>35</v>
      </c>
      <c r="B6" s="15" t="s">
        <v>32</v>
      </c>
      <c r="C6" s="17">
        <v>1078575</v>
      </c>
      <c r="D6" s="17">
        <v>1082117</v>
      </c>
      <c r="E6" s="17">
        <v>978164.51</v>
      </c>
      <c r="F6" s="17">
        <f>VLOOKUP(A6,'01 - FATTURATO'!A$1:E$152,5,0)</f>
        <v>750241.67514980189</v>
      </c>
      <c r="G6" s="17">
        <f>VLOOKUP(A6,'02 - CAPACITA'!A$1:E$14,5,0)</f>
        <v>181838.14015983156</v>
      </c>
      <c r="H6" s="17">
        <f ca="1">VLOOKUP(A6,'03 - CAPILLARIZZAZIONE'!A$1:C$14,3,0)</f>
        <v>79656.258737749769</v>
      </c>
      <c r="I6" s="17">
        <f t="shared" ca="1" si="1"/>
        <v>1011736.0740473833</v>
      </c>
      <c r="J6" s="2"/>
    </row>
    <row r="7" spans="1:10" x14ac:dyDescent="0.25">
      <c r="A7" s="15" t="s">
        <v>36</v>
      </c>
      <c r="B7" s="15" t="s">
        <v>32</v>
      </c>
      <c r="C7" s="17">
        <v>1223480</v>
      </c>
      <c r="D7" s="17">
        <v>1182192.8900000001</v>
      </c>
      <c r="E7" s="17">
        <v>1158595.6599999999</v>
      </c>
      <c r="F7" s="17">
        <f>VLOOKUP(A7,'01 - FATTURATO'!A$1:E$152,5,0)</f>
        <v>819625.21071546397</v>
      </c>
      <c r="G7" s="17">
        <f>VLOOKUP(A7,'02 - CAPACITA'!A$1:E$14,5,0)</f>
        <v>206267.83276336902</v>
      </c>
      <c r="H7" s="17">
        <f ca="1">VLOOKUP(A7,'03 - CAPILLARIZZAZIONE'!A$1:C$14,3,0)</f>
        <v>81019.590333907196</v>
      </c>
      <c r="I7" s="17">
        <f t="shared" ca="1" si="1"/>
        <v>1106912.6338127402</v>
      </c>
      <c r="J7" s="2"/>
    </row>
    <row r="8" spans="1:10" x14ac:dyDescent="0.25">
      <c r="A8" s="15" t="s">
        <v>37</v>
      </c>
      <c r="B8" s="15" t="s">
        <v>32</v>
      </c>
      <c r="C8" s="17">
        <v>140160</v>
      </c>
      <c r="D8" s="17">
        <v>0</v>
      </c>
      <c r="E8" s="17">
        <v>81760</v>
      </c>
      <c r="F8" s="17">
        <f>VLOOKUP(A8,'01 - FATTURATO'!A$1:E$152,5,0)</f>
        <v>0</v>
      </c>
      <c r="G8" s="17">
        <f>VLOOKUP(A8,'02 - CAPACITA'!A$1:E$14,5,0)</f>
        <v>23629.727858333441</v>
      </c>
      <c r="H8" s="17">
        <f ca="1">VLOOKUP(A8,'03 - CAPILLARIZZAZIONE'!A$1:C$14,3,0)</f>
        <v>28712.826524125678</v>
      </c>
      <c r="I8" s="17">
        <f t="shared" ca="1" si="1"/>
        <v>52342.554382459115</v>
      </c>
      <c r="J8" s="2"/>
    </row>
    <row r="9" spans="1:10" x14ac:dyDescent="0.25">
      <c r="A9" s="15" t="s">
        <v>38</v>
      </c>
      <c r="B9" s="15" t="s">
        <v>32</v>
      </c>
      <c r="C9" s="17">
        <v>365000</v>
      </c>
      <c r="D9" s="17">
        <v>245250</v>
      </c>
      <c r="E9" s="17">
        <v>292000</v>
      </c>
      <c r="F9" s="17">
        <f>VLOOKUP(A9,'01 - FATTURATO'!A$1:E$152,5,0)</f>
        <v>170034.08210987251</v>
      </c>
      <c r="G9" s="17">
        <f>VLOOKUP(A9,'02 - CAPACITA'!A$1:E$14,5,0)</f>
        <v>61535.749631076673</v>
      </c>
      <c r="H9" s="17">
        <f ca="1">VLOOKUP(A9,'03 - CAPILLARIZZAZIONE'!A$1:C$14,3,0)</f>
        <v>40637.782819801607</v>
      </c>
      <c r="I9" s="17">
        <f t="shared" ca="1" si="1"/>
        <v>272207.61456075078</v>
      </c>
      <c r="J9" s="2"/>
    </row>
    <row r="10" spans="1:10" x14ac:dyDescent="0.25">
      <c r="A10" s="15" t="s">
        <v>39</v>
      </c>
      <c r="B10" s="15" t="s">
        <v>32</v>
      </c>
      <c r="C10" s="17">
        <v>1515845</v>
      </c>
      <c r="D10" s="17">
        <v>1408073.6</v>
      </c>
      <c r="E10" s="17">
        <v>1400118.28</v>
      </c>
      <c r="F10" s="17">
        <f>VLOOKUP(A10,'01 - FATTURATO'!A$1:E$152,5,0)</f>
        <v>976230.38580690639</v>
      </c>
      <c r="G10" s="17">
        <f>VLOOKUP(A10,'02 - CAPACITA'!A$1:E$14,5,0)</f>
        <v>255557.9682178614</v>
      </c>
      <c r="H10" s="17">
        <f ca="1">VLOOKUP(A10,'03 - CAPILLARIZZAZIONE'!A$1:C$14,3,0)</f>
        <v>239817.36062227134</v>
      </c>
      <c r="I10" s="17">
        <f t="shared" ca="1" si="1"/>
        <v>1471605.7146470393</v>
      </c>
      <c r="J10" s="2"/>
    </row>
    <row r="11" spans="1:10" x14ac:dyDescent="0.25">
      <c r="A11" s="15" t="s">
        <v>40</v>
      </c>
      <c r="B11" s="15" t="s">
        <v>32</v>
      </c>
      <c r="C11" s="17">
        <v>751170</v>
      </c>
      <c r="D11" s="17">
        <v>707981.4</v>
      </c>
      <c r="E11" s="17">
        <v>708403.33</v>
      </c>
      <c r="F11" s="17">
        <f>VLOOKUP(A11,'01 - FATTURATO'!A$1:E$152,5,0)</f>
        <v>490850.02038679924</v>
      </c>
      <c r="G11" s="17">
        <f>VLOOKUP(A11,'02 - CAPACITA'!A$1:E$14,5,0)</f>
        <v>126640.5727407558</v>
      </c>
      <c r="H11" s="17">
        <f ca="1">VLOOKUP(A11,'03 - CAPILLARIZZAZIONE'!A$1:C$14,3,0)</f>
        <v>36105.09919319742</v>
      </c>
      <c r="I11" s="17">
        <f t="shared" ca="1" si="1"/>
        <v>653595.69232075242</v>
      </c>
      <c r="J11" s="2"/>
    </row>
    <row r="12" spans="1:10" x14ac:dyDescent="0.25">
      <c r="A12" s="15" t="s">
        <v>41</v>
      </c>
      <c r="B12" s="15" t="s">
        <v>32</v>
      </c>
      <c r="C12" s="17">
        <v>1073100</v>
      </c>
      <c r="D12" s="17">
        <v>949295.10000000009</v>
      </c>
      <c r="E12" s="17">
        <v>785133.51</v>
      </c>
      <c r="F12" s="17">
        <f>VLOOKUP(A12,'01 - FATTURATO'!A$1:E$152,5,0)</f>
        <v>658155.02947971318</v>
      </c>
      <c r="G12" s="17">
        <f>VLOOKUP(A12,'02 - CAPACITA'!A$1:E$14,5,0)</f>
        <v>180915.10391536541</v>
      </c>
      <c r="H12" s="17">
        <f ca="1">VLOOKUP(A12,'03 - CAPILLARIZZAZIONE'!A$1:C$14,3,0)</f>
        <v>43311.223369075153</v>
      </c>
      <c r="I12" s="17">
        <f t="shared" ca="1" si="1"/>
        <v>882381.35676415369</v>
      </c>
      <c r="J12" s="2"/>
    </row>
    <row r="13" spans="1:10" x14ac:dyDescent="0.25">
      <c r="A13" s="15" t="s">
        <v>42</v>
      </c>
      <c r="B13" s="15" t="s">
        <v>32</v>
      </c>
      <c r="C13" s="17">
        <v>1073100</v>
      </c>
      <c r="D13" s="17">
        <v>744554.60000000009</v>
      </c>
      <c r="E13" s="17">
        <v>766636.59</v>
      </c>
      <c r="F13" s="17">
        <f>VLOOKUP(A13,'01 - FATTURATO'!A$1:E$152,5,0)</f>
        <v>516206.55654101248</v>
      </c>
      <c r="G13" s="17">
        <f>VLOOKUP(A13,'02 - CAPACITA'!A$1:E$14,5,0)</f>
        <v>180915.10391536541</v>
      </c>
      <c r="H13" s="17">
        <f ca="1">VLOOKUP(A13,'03 - CAPILLARIZZAZIONE'!A$1:C$14,3,0)</f>
        <v>43311.223369075153</v>
      </c>
      <c r="I13" s="17">
        <f t="shared" ca="1" si="1"/>
        <v>740432.883825453</v>
      </c>
      <c r="J13" s="2"/>
    </row>
    <row r="14" spans="1:10" x14ac:dyDescent="0.25">
      <c r="A14" s="15" t="s">
        <v>43</v>
      </c>
      <c r="B14" s="15" t="s">
        <v>32</v>
      </c>
      <c r="C14" s="17">
        <v>429240</v>
      </c>
      <c r="D14" s="17">
        <v>405720</v>
      </c>
      <c r="E14" s="17">
        <v>421891.67</v>
      </c>
      <c r="F14" s="17">
        <f>VLOOKUP(A14,'01 - FATTURATO'!A$1:E$152,5,0)</f>
        <v>281289.40996378177</v>
      </c>
      <c r="G14" s="17">
        <f>VLOOKUP(A14,'02 - CAPACITA'!A$1:E$14,5,0)</f>
        <v>72366.041566146159</v>
      </c>
      <c r="H14" s="17">
        <f ca="1">VLOOKUP(A14,'03 - CAPILLARIZZAZIONE'!A$1:C$14,3,0)</f>
        <v>43311.223369075153</v>
      </c>
      <c r="I14" s="17">
        <f t="shared" ca="1" si="1"/>
        <v>396966.67489900306</v>
      </c>
      <c r="J14" s="2"/>
    </row>
    <row r="15" spans="1:10" x14ac:dyDescent="0.25">
      <c r="A15" s="15" t="s">
        <v>44</v>
      </c>
      <c r="B15" s="15" t="s">
        <v>32</v>
      </c>
      <c r="C15" s="17">
        <v>829280</v>
      </c>
      <c r="D15" s="17">
        <v>796110.6</v>
      </c>
      <c r="E15" s="17">
        <v>794080.77</v>
      </c>
      <c r="F15" s="17">
        <f>VLOOKUP(A15,'01 - FATTURATO'!A$1:E$152,5,0)</f>
        <v>551950.80582646234</v>
      </c>
      <c r="G15" s="17">
        <f>VLOOKUP(A15,'02 - CAPACITA'!A$1:E$14,5,0)</f>
        <v>139809.22316180621</v>
      </c>
      <c r="H15" s="17">
        <f ca="1">VLOOKUP(A15,'03 - CAPILLARIZZAZIONE'!A$1:C$14,3,0)</f>
        <v>126805.89317285668</v>
      </c>
      <c r="I15" s="17">
        <f t="shared" ca="1" si="1"/>
        <v>818565.92216112523</v>
      </c>
      <c r="J15" s="2"/>
    </row>
    <row r="16" spans="1:10" x14ac:dyDescent="0.25">
      <c r="C16" s="1"/>
      <c r="D16" s="1"/>
      <c r="E16" s="1"/>
      <c r="F16" s="1"/>
      <c r="G16" s="1"/>
      <c r="H16" s="1"/>
      <c r="I16" s="1"/>
    </row>
  </sheetData>
  <mergeCells count="1">
    <mergeCell ref="F1:H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POPOLAZIONE</vt:lpstr>
      <vt:lpstr>00 - BUDGET</vt:lpstr>
      <vt:lpstr>01 - FATTURATO</vt:lpstr>
      <vt:lpstr>02 - CAPACITA</vt:lpstr>
      <vt:lpstr>03_1 - CAPILLARIZZAZIONE</vt:lpstr>
      <vt:lpstr>03 - CAPILLARIZZAZIONE</vt:lpstr>
      <vt:lpstr>04 - TOTALE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Mocci</dc:creator>
  <cp:lastModifiedBy>Marco Mocci</cp:lastModifiedBy>
  <dcterms:created xsi:type="dcterms:W3CDTF">2022-02-28T06:18:22Z</dcterms:created>
  <dcterms:modified xsi:type="dcterms:W3CDTF">2023-07-21T07:42:26Z</dcterms:modified>
</cp:coreProperties>
</file>