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co Mocci\Cloud\#My Work\PIANI D'ACQUISTO 2023\SALUTE MENTALE 2023\"/>
    </mc:Choice>
  </mc:AlternateContent>
  <bookViews>
    <workbookView xWindow="0" yWindow="0" windowWidth="19200" windowHeight="11190" tabRatio="854" activeTab="1"/>
  </bookViews>
  <sheets>
    <sheet name="POPOLAZIONE" sheetId="25" r:id="rId1"/>
    <sheet name="00 - BUDGET" sheetId="2" r:id="rId2"/>
    <sheet name="01 - FATTURATO" sheetId="11" r:id="rId3"/>
    <sheet name="02 - CAPACITA" sheetId="14" r:id="rId4"/>
    <sheet name="03_1 - CAPILLARIZZAZIONE" sheetId="18" r:id="rId5"/>
    <sheet name="03 - CAPILLARIZZAZIONE" sheetId="17" r:id="rId6"/>
    <sheet name="04 - TOTALE" sheetId="16" r:id="rId7"/>
  </sheets>
  <definedNames>
    <definedName name="_xlnm._FilterDatabase" localSheetId="2" hidden="1">'01 - FATTURATO'!$A$1:$E$5</definedName>
    <definedName name="_xlnm._FilterDatabase" localSheetId="3" hidden="1">'02 - CAPACITA'!$A$1:$E$5</definedName>
    <definedName name="_xlnm._FilterDatabase" localSheetId="5" hidden="1">'03 - CAPILLARIZZAZIONE'!$A$1:$C$5</definedName>
    <definedName name="_xlnm._FilterDatabase" localSheetId="4" hidden="1">'03_1 - CAPILLARIZZAZIONE'!$A$1:$M$8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5" l="1"/>
  <c r="C3" i="25" l="1"/>
  <c r="C4" i="25"/>
  <c r="C5" i="25"/>
  <c r="C6" i="25"/>
  <c r="C7" i="25"/>
  <c r="C8" i="25"/>
  <c r="C9" i="25"/>
  <c r="C2" i="25"/>
  <c r="G2" i="18" l="1"/>
  <c r="G3" i="18"/>
  <c r="G4" i="18"/>
  <c r="G5" i="18"/>
  <c r="G6" i="18"/>
  <c r="G7" i="18"/>
  <c r="G8" i="18"/>
  <c r="A5" i="18" l="1"/>
  <c r="A8" i="18"/>
  <c r="I8" i="18"/>
  <c r="I7" i="18"/>
  <c r="I6" i="18"/>
  <c r="I5" i="18"/>
  <c r="A7" i="18"/>
  <c r="I4" i="18"/>
  <c r="I3" i="18"/>
  <c r="I2" i="18"/>
  <c r="A6" i="18"/>
  <c r="D4" i="14" l="1"/>
  <c r="D5" i="14"/>
  <c r="B2" i="2"/>
  <c r="D2" i="2" s="1"/>
  <c r="D3" i="14"/>
  <c r="D2" i="14"/>
  <c r="D5" i="11" l="1"/>
  <c r="D3" i="11"/>
  <c r="D4" i="11"/>
  <c r="D2" i="11"/>
  <c r="A3" i="18" l="1"/>
  <c r="A2" i="18"/>
  <c r="A4" i="18"/>
  <c r="H2" i="18" l="1"/>
  <c r="J2" i="18" s="1"/>
  <c r="K2" i="18" s="1"/>
  <c r="H8" i="18"/>
  <c r="J8" i="18" s="1"/>
  <c r="K8" i="18" s="1"/>
  <c r="H6" i="18"/>
  <c r="J6" i="18" s="1"/>
  <c r="K6" i="18" s="1"/>
  <c r="H5" i="18"/>
  <c r="J5" i="18" s="1"/>
  <c r="K5" i="18" s="1"/>
  <c r="H7" i="18"/>
  <c r="J7" i="18" s="1"/>
  <c r="K7" i="18" s="1"/>
  <c r="H4" i="18"/>
  <c r="J4" i="18" s="1"/>
  <c r="K4" i="18" s="1"/>
  <c r="H3" i="18"/>
  <c r="J3" i="18" s="1"/>
  <c r="K3" i="18" s="1"/>
  <c r="L2" i="18" l="1"/>
  <c r="L5" i="18"/>
  <c r="L6" i="18"/>
  <c r="L8" i="18"/>
  <c r="L3" i="18"/>
  <c r="L4" i="18"/>
  <c r="L7" i="18"/>
  <c r="C6" i="2" l="1"/>
  <c r="C7" i="2"/>
  <c r="C5" i="2"/>
  <c r="E3" i="14" l="1"/>
  <c r="G4" i="16" s="1"/>
  <c r="E4" i="14"/>
  <c r="G5" i="16" s="1"/>
  <c r="E5" i="14"/>
  <c r="G6" i="16" s="1"/>
  <c r="E2" i="14"/>
  <c r="G3" i="16" s="1"/>
  <c r="M3" i="18"/>
  <c r="M7" i="18"/>
  <c r="M2" i="18"/>
  <c r="M4" i="18"/>
  <c r="M8" i="18"/>
  <c r="M5" i="18"/>
  <c r="M6" i="18"/>
  <c r="E4" i="11"/>
  <c r="E3" i="11"/>
  <c r="E5" i="11"/>
  <c r="E2" i="11"/>
  <c r="F3" i="16" s="1"/>
  <c r="F4" i="16" l="1"/>
  <c r="F5" i="16"/>
  <c r="F6" i="16"/>
  <c r="C2" i="17"/>
  <c r="H3" i="16" s="1"/>
  <c r="I3" i="16" l="1"/>
  <c r="C5" i="17"/>
  <c r="H6" i="16" s="1"/>
  <c r="I6" i="16" s="1"/>
  <c r="J6" i="16" l="1"/>
  <c r="K6" i="16" s="1"/>
  <c r="J3" i="16"/>
  <c r="K3" i="16" s="1"/>
  <c r="C3" i="17" l="1"/>
  <c r="H4" i="16" s="1"/>
  <c r="C4" i="17"/>
  <c r="H5" i="16" s="1"/>
  <c r="I5" i="16" s="1"/>
  <c r="J5" i="16" l="1"/>
  <c r="K5" i="16" s="1"/>
  <c r="I4" i="16"/>
  <c r="J4" i="16" l="1"/>
  <c r="K4" i="16" s="1"/>
</calcChain>
</file>

<file path=xl/sharedStrings.xml><?xml version="1.0" encoding="utf-8"?>
<sst xmlns="http://schemas.openxmlformats.org/spreadsheetml/2006/main" count="128" uniqueCount="48">
  <si>
    <t xml:space="preserve">OPERA GESU’ NAZARENO </t>
  </si>
  <si>
    <t xml:space="preserve">A18 ONLUS </t>
  </si>
  <si>
    <t>BUDGET</t>
  </si>
  <si>
    <t>CENTRO FISIOTERAPICO S.B. SRL</t>
  </si>
  <si>
    <t>FATTURATO</t>
  </si>
  <si>
    <t>OPERA GESU' NAZARENO S.R.L.</t>
  </si>
  <si>
    <t>A 18 ONLUS</t>
  </si>
  <si>
    <t>ENTE GIURIDICO</t>
  </si>
  <si>
    <t>CAPACITA'</t>
  </si>
  <si>
    <t>CENTRO SERVIZI ALLA PERSONA</t>
  </si>
  <si>
    <t>TIPOLOGIA</t>
  </si>
  <si>
    <t>CRITERI</t>
  </si>
  <si>
    <t>CAPILLARIZZAZIONE</t>
  </si>
  <si>
    <t>%</t>
  </si>
  <si>
    <t>NUORO</t>
  </si>
  <si>
    <t>CAGLIARI</t>
  </si>
  <si>
    <t>ORISTANO</t>
  </si>
  <si>
    <t>SASSARI</t>
  </si>
  <si>
    <t>ASL</t>
  </si>
  <si>
    <t>Popolazione</t>
  </si>
  <si>
    <t>TOTALE</t>
  </si>
  <si>
    <t>INDICE ABITANTI</t>
  </si>
  <si>
    <t>STRUTTURE STESSO LIVELLO NELL'ASSL</t>
  </si>
  <si>
    <t>STRUTTURE STESSO LIVELLO SARDEGNA</t>
  </si>
  <si>
    <t>INDICE PRESENZA</t>
  </si>
  <si>
    <t>MEDIA INDICI</t>
  </si>
  <si>
    <t>% INDICI</t>
  </si>
  <si>
    <t>BUDGET CAPILLARIZZAZIONE</t>
  </si>
  <si>
    <t>BUDGET PER AUTISMO</t>
  </si>
  <si>
    <t>AUTISMO</t>
  </si>
  <si>
    <t>TETTO 2022</t>
  </si>
  <si>
    <t>FONDAZIONE CENTRO SERVIZI ALLA PERSONA</t>
  </si>
  <si>
    <t>CENTRO FISIOTERAPICO SB SRL</t>
  </si>
  <si>
    <t>SULCIS</t>
  </si>
  <si>
    <t>MEDIOCAMPIDANO</t>
  </si>
  <si>
    <t>OGLIASTRA</t>
  </si>
  <si>
    <t xml:space="preserve">AUTISMO 
RESIDENZIALE 
 </t>
  </si>
  <si>
    <t xml:space="preserve">AUTISMO 
SEMIRESIDENZIALE </t>
  </si>
  <si>
    <t>NOME STRUTTURA</t>
  </si>
  <si>
    <t>LIVELLO CONTRATTATO</t>
  </si>
  <si>
    <t>GALLURA</t>
  </si>
  <si>
    <t>PESO</t>
  </si>
  <si>
    <t>PERDITA</t>
  </si>
  <si>
    <t>GUADAGNO</t>
  </si>
  <si>
    <t>RIEQUILIBRIO</t>
  </si>
  <si>
    <t>BUDGET 2023 PROVVISORIO</t>
  </si>
  <si>
    <t>% PROVVISORIO SU TETTO 2022</t>
  </si>
  <si>
    <t>BUDGET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</si>
</sst>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sz val="12"/>
      <color rgb="FF000000"/>
      <name val="Calibri"/>
      <family val="2"/>
      <charset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4" fillId="0" borderId="0" applyNumberFormat="0" applyFill="0" applyBorder="0" applyProtection="0">
      <alignment horizontal="left"/>
    </xf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</cellStyleXfs>
  <cellXfs count="23">
    <xf numFmtId="0" fontId="0" fillId="0" borderId="0" xfId="0"/>
    <xf numFmtId="43" fontId="0" fillId="0" borderId="0" xfId="1" applyFont="1"/>
    <xf numFmtId="43" fontId="0" fillId="0" borderId="0" xfId="0" applyNumberFormat="1"/>
    <xf numFmtId="0" fontId="3" fillId="0" borderId="1" xfId="0" applyFont="1" applyBorder="1"/>
    <xf numFmtId="0" fontId="0" fillId="0" borderId="1" xfId="0" applyBorder="1"/>
    <xf numFmtId="43" fontId="0" fillId="0" borderId="1" xfId="1" applyFont="1" applyBorder="1"/>
    <xf numFmtId="43" fontId="0" fillId="0" borderId="1" xfId="0" applyNumberFormat="1" applyBorder="1"/>
    <xf numFmtId="0" fontId="3" fillId="0" borderId="0" xfId="0" applyFont="1"/>
    <xf numFmtId="0" fontId="2" fillId="0" borderId="1" xfId="0" applyFont="1" applyBorder="1"/>
    <xf numFmtId="9" fontId="0" fillId="0" borderId="1" xfId="4" applyFont="1" applyBorder="1"/>
    <xf numFmtId="164" fontId="0" fillId="0" borderId="1" xfId="0" applyNumberFormat="1" applyBorder="1"/>
    <xf numFmtId="10" fontId="0" fillId="0" borderId="0" xfId="4" applyNumberFormat="1" applyFont="1"/>
    <xf numFmtId="2" fontId="0" fillId="0" borderId="0" xfId="0" applyNumberFormat="1"/>
    <xf numFmtId="10" fontId="2" fillId="0" borderId="1" xfId="4" applyNumberFormat="1" applyFont="1" applyBorder="1"/>
    <xf numFmtId="16" fontId="0" fillId="0" borderId="0" xfId="0" applyNumberFormat="1"/>
    <xf numFmtId="4" fontId="0" fillId="0" borderId="0" xfId="0" applyNumberFormat="1"/>
    <xf numFmtId="0" fontId="2" fillId="0" borderId="1" xfId="0" applyFont="1" applyBorder="1" applyAlignment="1"/>
    <xf numFmtId="9" fontId="0" fillId="0" borderId="1" xfId="4" applyFont="1" applyFill="1" applyBorder="1"/>
    <xf numFmtId="0" fontId="7" fillId="0" borderId="0" xfId="0" applyFont="1" applyFill="1"/>
    <xf numFmtId="9" fontId="7" fillId="0" borderId="0" xfId="4" applyFont="1" applyFill="1"/>
    <xf numFmtId="43" fontId="7" fillId="0" borderId="0" xfId="1" applyFont="1" applyFill="1"/>
    <xf numFmtId="0" fontId="8" fillId="0" borderId="0" xfId="0" applyFont="1" applyFill="1" applyAlignment="1">
      <alignment wrapText="1"/>
    </xf>
    <xf numFmtId="0" fontId="7" fillId="0" borderId="0" xfId="0" applyFont="1" applyFill="1" applyAlignment="1">
      <alignment horizontal="center"/>
    </xf>
  </cellXfs>
  <cellStyles count="8">
    <cellStyle name="Migliaia" xfId="1" builtinId="3"/>
    <cellStyle name="Migliaia 2" xfId="5"/>
    <cellStyle name="Normale" xfId="0" builtinId="0"/>
    <cellStyle name="Normale 2" xfId="2"/>
    <cellStyle name="Normale 3" xfId="6"/>
    <cellStyle name="Percentuale" xfId="4" builtinId="5"/>
    <cellStyle name="Pivot Table Category" xfId="3"/>
    <cellStyle name="Valut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9" sqref="C9"/>
    </sheetView>
  </sheetViews>
  <sheetFormatPr defaultRowHeight="15" x14ac:dyDescent="0.25"/>
  <cols>
    <col min="1" max="1" width="10.42578125" bestFit="1" customWidth="1"/>
    <col min="2" max="2" width="14.7109375" bestFit="1" customWidth="1"/>
  </cols>
  <sheetData>
    <row r="1" spans="1:3" x14ac:dyDescent="0.25">
      <c r="A1" s="7" t="s">
        <v>18</v>
      </c>
      <c r="B1" s="7" t="s">
        <v>19</v>
      </c>
    </row>
    <row r="2" spans="1:3" x14ac:dyDescent="0.25">
      <c r="A2" t="s">
        <v>17</v>
      </c>
      <c r="B2" s="1">
        <v>318295</v>
      </c>
      <c r="C2" s="12">
        <f>B2/B$10</f>
        <v>0.20051177607843707</v>
      </c>
    </row>
    <row r="3" spans="1:3" x14ac:dyDescent="0.25">
      <c r="A3" t="s">
        <v>40</v>
      </c>
      <c r="B3" s="1">
        <v>158221</v>
      </c>
      <c r="C3" s="12">
        <f t="shared" ref="C3:C9" si="0">B3/B$10</f>
        <v>9.967223400589513E-2</v>
      </c>
    </row>
    <row r="4" spans="1:3" x14ac:dyDescent="0.25">
      <c r="A4" t="s">
        <v>14</v>
      </c>
      <c r="B4" s="1">
        <v>146725</v>
      </c>
      <c r="C4" s="12">
        <f t="shared" si="0"/>
        <v>9.2430262319887768E-2</v>
      </c>
    </row>
    <row r="5" spans="1:3" x14ac:dyDescent="0.25">
      <c r="A5" t="s">
        <v>35</v>
      </c>
      <c r="B5" s="1">
        <v>54829</v>
      </c>
      <c r="C5" s="12">
        <f t="shared" si="0"/>
        <v>3.4539845648233952E-2</v>
      </c>
    </row>
    <row r="6" spans="1:3" x14ac:dyDescent="0.25">
      <c r="A6" t="s">
        <v>16</v>
      </c>
      <c r="B6" s="1">
        <v>152426</v>
      </c>
      <c r="C6" s="12">
        <f t="shared" si="0"/>
        <v>9.6021640241071474E-2</v>
      </c>
    </row>
    <row r="7" spans="1:3" x14ac:dyDescent="0.25">
      <c r="A7" t="s">
        <v>34</v>
      </c>
      <c r="B7" s="1">
        <v>92660</v>
      </c>
      <c r="C7" s="12">
        <f t="shared" si="0"/>
        <v>5.837170289017414E-2</v>
      </c>
    </row>
    <row r="8" spans="1:3" x14ac:dyDescent="0.25">
      <c r="A8" t="s">
        <v>33</v>
      </c>
      <c r="B8" s="1">
        <v>119086</v>
      </c>
      <c r="C8" s="12">
        <f t="shared" si="0"/>
        <v>7.5018914422396693E-2</v>
      </c>
    </row>
    <row r="9" spans="1:3" x14ac:dyDescent="0.25">
      <c r="A9" t="s">
        <v>15</v>
      </c>
      <c r="B9" s="1">
        <v>545171</v>
      </c>
      <c r="C9" s="12">
        <f t="shared" si="0"/>
        <v>0.34343362439390379</v>
      </c>
    </row>
    <row r="10" spans="1:3" x14ac:dyDescent="0.25">
      <c r="A10" t="s">
        <v>20</v>
      </c>
      <c r="B10" s="1">
        <f>SUM(B2:B9)</f>
        <v>1587413</v>
      </c>
      <c r="C10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="85" zoomScaleNormal="85" workbookViewId="0">
      <selection activeCell="D9" sqref="D9"/>
    </sheetView>
  </sheetViews>
  <sheetFormatPr defaultRowHeight="15" x14ac:dyDescent="0.25"/>
  <cols>
    <col min="1" max="1" width="53.7109375" bestFit="1" customWidth="1"/>
    <col min="2" max="2" width="15.7109375" bestFit="1" customWidth="1"/>
    <col min="3" max="3" width="20.42578125" bestFit="1" customWidth="1"/>
    <col min="4" max="4" width="24" bestFit="1" customWidth="1"/>
    <col min="5" max="5" width="14.7109375" bestFit="1" customWidth="1"/>
    <col min="6" max="6" width="18.85546875" bestFit="1" customWidth="1"/>
  </cols>
  <sheetData>
    <row r="1" spans="1:6" ht="15.75" x14ac:dyDescent="0.25">
      <c r="A1" s="3"/>
      <c r="B1" s="16" t="s">
        <v>8</v>
      </c>
      <c r="C1" s="8" t="s">
        <v>13</v>
      </c>
      <c r="D1" s="16" t="s">
        <v>28</v>
      </c>
    </row>
    <row r="2" spans="1:6" x14ac:dyDescent="0.25">
      <c r="A2" s="4" t="s">
        <v>28</v>
      </c>
      <c r="B2" s="5">
        <f ca="1">SUMIF('02 - CAPACITA'!B2:B10,"AUTISMO",'02 - CAPACITA'!C2:C5)</f>
        <v>4050150.0999999996</v>
      </c>
      <c r="C2" s="9">
        <v>0.55000000000000004</v>
      </c>
      <c r="D2" s="6">
        <f ca="1">B2*C2</f>
        <v>2227582.5550000002</v>
      </c>
      <c r="E2" s="2"/>
      <c r="F2" s="2"/>
    </row>
    <row r="4" spans="1:6" ht="15.75" x14ac:dyDescent="0.25">
      <c r="A4" s="16" t="s">
        <v>11</v>
      </c>
      <c r="B4" s="16" t="s">
        <v>41</v>
      </c>
      <c r="C4" s="8" t="s">
        <v>2</v>
      </c>
    </row>
    <row r="5" spans="1:6" x14ac:dyDescent="0.25">
      <c r="A5" s="4" t="s">
        <v>4</v>
      </c>
      <c r="B5" s="9">
        <v>0.6</v>
      </c>
      <c r="C5" s="6">
        <f ca="1">D$2*B5</f>
        <v>1336549.5330000001</v>
      </c>
      <c r="D5" s="2"/>
      <c r="E5" s="2"/>
    </row>
    <row r="6" spans="1:6" x14ac:dyDescent="0.25">
      <c r="A6" s="4" t="s">
        <v>8</v>
      </c>
      <c r="B6" s="9">
        <v>0.25</v>
      </c>
      <c r="C6" s="6">
        <f ca="1">D$2*B6</f>
        <v>556895.63875000004</v>
      </c>
      <c r="D6" s="2"/>
      <c r="E6" s="2"/>
    </row>
    <row r="7" spans="1:6" x14ac:dyDescent="0.25">
      <c r="A7" s="4" t="s">
        <v>12</v>
      </c>
      <c r="B7" s="9">
        <v>0.15</v>
      </c>
      <c r="C7" s="6">
        <f ca="1">D$2*B7</f>
        <v>334137.38325000001</v>
      </c>
      <c r="D7" s="2"/>
      <c r="E7" s="2"/>
    </row>
    <row r="8" spans="1:6" x14ac:dyDescent="0.25">
      <c r="C8" s="2"/>
    </row>
    <row r="9" spans="1:6" ht="15.75" x14ac:dyDescent="0.25">
      <c r="A9" s="4"/>
      <c r="B9" s="8" t="s">
        <v>42</v>
      </c>
      <c r="C9" s="8" t="s">
        <v>43</v>
      </c>
    </row>
    <row r="10" spans="1:6" x14ac:dyDescent="0.25">
      <c r="A10" s="4" t="s">
        <v>44</v>
      </c>
      <c r="B10" s="17">
        <v>0</v>
      </c>
      <c r="C10" s="17">
        <v>0.05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sqref="A1:B5"/>
    </sheetView>
  </sheetViews>
  <sheetFormatPr defaultRowHeight="15" x14ac:dyDescent="0.25"/>
  <cols>
    <col min="1" max="1" width="72.42578125" bestFit="1" customWidth="1"/>
    <col min="2" max="2" width="15.28515625" bestFit="1" customWidth="1"/>
    <col min="3" max="3" width="32" bestFit="1" customWidth="1"/>
    <col min="4" max="4" width="9.7109375" bestFit="1" customWidth="1"/>
    <col min="5" max="5" width="14.7109375" bestFit="1" customWidth="1"/>
  </cols>
  <sheetData>
    <row r="1" spans="1:5" x14ac:dyDescent="0.25">
      <c r="A1" s="7" t="s">
        <v>7</v>
      </c>
      <c r="B1" s="7" t="s">
        <v>10</v>
      </c>
      <c r="C1" s="7" t="s">
        <v>4</v>
      </c>
      <c r="D1" s="7" t="s">
        <v>13</v>
      </c>
      <c r="E1" s="7" t="s">
        <v>2</v>
      </c>
    </row>
    <row r="2" spans="1:5" x14ac:dyDescent="0.25">
      <c r="A2" t="s">
        <v>6</v>
      </c>
      <c r="B2" t="s">
        <v>29</v>
      </c>
      <c r="C2" s="2">
        <v>737728.57</v>
      </c>
      <c r="D2" s="11">
        <f>C2/SUMIF(B$2:B$12,B2,C$2:C$12)</f>
        <v>0.51299195372163731</v>
      </c>
      <c r="E2" s="1">
        <f ca="1">'00 - BUDGET'!C$5*D2</f>
        <v>685639.15617941204</v>
      </c>
    </row>
    <row r="3" spans="1:5" x14ac:dyDescent="0.25">
      <c r="A3" t="s">
        <v>32</v>
      </c>
      <c r="B3" t="s">
        <v>29</v>
      </c>
      <c r="C3" s="2">
        <v>37767.023999999998</v>
      </c>
      <c r="D3" s="11">
        <f>C3/SUMIF(B$2:B$12,B3,C$2:C$12)</f>
        <v>2.62619345594979E-2</v>
      </c>
      <c r="E3" s="1">
        <f ca="1">'00 - BUDGET'!C$5*D3</f>
        <v>35100.376371173479</v>
      </c>
    </row>
    <row r="4" spans="1:5" x14ac:dyDescent="0.25">
      <c r="A4" t="s">
        <v>31</v>
      </c>
      <c r="B4" t="s">
        <v>29</v>
      </c>
      <c r="C4" s="2">
        <v>0</v>
      </c>
      <c r="D4" s="11">
        <f>C4/SUMIF(B$2:B$12,B4,C$2:C$12)</f>
        <v>0</v>
      </c>
      <c r="E4" s="1">
        <f ca="1">'00 - BUDGET'!C$5*D4</f>
        <v>0</v>
      </c>
    </row>
    <row r="5" spans="1:5" x14ac:dyDescent="0.25">
      <c r="A5" t="s">
        <v>5</v>
      </c>
      <c r="B5" t="s">
        <v>29</v>
      </c>
      <c r="C5" s="2">
        <v>662594.35</v>
      </c>
      <c r="D5" s="11">
        <f>C5/SUMIF(B$2:B$12,B5,C$2:C$12)</f>
        <v>0.46074611171886481</v>
      </c>
      <c r="E5" s="1">
        <f ca="1">'00 - BUDGET'!C$5*D5</f>
        <v>615810.0004494146</v>
      </c>
    </row>
  </sheetData>
  <autoFilter ref="A1:E5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sqref="A1:B5"/>
    </sheetView>
  </sheetViews>
  <sheetFormatPr defaultRowHeight="15" x14ac:dyDescent="0.25"/>
  <cols>
    <col min="1" max="1" width="72.42578125" bestFit="1" customWidth="1"/>
    <col min="2" max="2" width="15.28515625" bestFit="1" customWidth="1"/>
    <col min="3" max="3" width="14.7109375" bestFit="1" customWidth="1"/>
    <col min="5" max="5" width="14.7109375" bestFit="1" customWidth="1"/>
  </cols>
  <sheetData>
    <row r="1" spans="1:5" x14ac:dyDescent="0.25">
      <c r="A1" s="7" t="s">
        <v>7</v>
      </c>
      <c r="B1" s="7" t="s">
        <v>10</v>
      </c>
      <c r="C1" s="7" t="s">
        <v>8</v>
      </c>
      <c r="D1" s="7" t="s">
        <v>13</v>
      </c>
      <c r="E1" s="7" t="s">
        <v>2</v>
      </c>
    </row>
    <row r="2" spans="1:5" x14ac:dyDescent="0.25">
      <c r="A2" t="s">
        <v>6</v>
      </c>
      <c r="B2" t="s">
        <v>29</v>
      </c>
      <c r="C2" s="2">
        <v>1833629.25</v>
      </c>
      <c r="D2" s="11">
        <f>C2/SUMIF(B$2:B$12,B2,C$2:C$12)</f>
        <v>0.452731183962787</v>
      </c>
      <c r="E2" s="1">
        <f ca="1">'00 - BUDGET'!C$6*D2</f>
        <v>252124.02187500003</v>
      </c>
    </row>
    <row r="3" spans="1:5" x14ac:dyDescent="0.25">
      <c r="A3" t="s">
        <v>32</v>
      </c>
      <c r="B3" t="s">
        <v>29</v>
      </c>
      <c r="C3" s="2">
        <v>763344.4</v>
      </c>
      <c r="D3" s="11">
        <f>C3/SUMIF(B$2:B$12,B3,C$2:C$12)</f>
        <v>0.18847311362608515</v>
      </c>
      <c r="E3" s="1">
        <f ca="1">'00 - BUDGET'!C$6*D3</f>
        <v>104959.85500000003</v>
      </c>
    </row>
    <row r="4" spans="1:5" x14ac:dyDescent="0.25">
      <c r="A4" t="s">
        <v>31</v>
      </c>
      <c r="B4" t="s">
        <v>29</v>
      </c>
      <c r="C4" s="2">
        <v>425257.05</v>
      </c>
      <c r="D4" s="11">
        <f>C4/SUMIF(B$2:B$12,B4,C$2:C$12)</f>
        <v>0.10499784933896648</v>
      </c>
      <c r="E4" s="1">
        <f ca="1">'00 - BUDGET'!C$6*D4</f>
        <v>58472.844375000008</v>
      </c>
    </row>
    <row r="5" spans="1:5" x14ac:dyDescent="0.25">
      <c r="A5" t="s">
        <v>5</v>
      </c>
      <c r="B5" t="s">
        <v>29</v>
      </c>
      <c r="C5" s="2">
        <v>1027919.4</v>
      </c>
      <c r="D5" s="11">
        <f>C5/SUMIF(B$2:B$12,B5,C$2:C$12)</f>
        <v>0.25379785307216146</v>
      </c>
      <c r="E5" s="1">
        <f ca="1">'00 - BUDGET'!C$6*D5</f>
        <v>141338.91750000001</v>
      </c>
    </row>
  </sheetData>
  <autoFilter ref="A1:E5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opLeftCell="E1" zoomScale="70" zoomScaleNormal="70" workbookViewId="0">
      <selection activeCell="L2" sqref="L2"/>
    </sheetView>
  </sheetViews>
  <sheetFormatPr defaultRowHeight="15" x14ac:dyDescent="0.25"/>
  <cols>
    <col min="1" max="1" width="42.140625" customWidth="1"/>
    <col min="2" max="2" width="20.7109375" customWidth="1"/>
    <col min="3" max="3" width="64.42578125" bestFit="1" customWidth="1"/>
    <col min="4" max="4" width="72.42578125" bestFit="1" customWidth="1"/>
    <col min="5" max="5" width="52.5703125" bestFit="1" customWidth="1"/>
    <col min="6" max="6" width="15" bestFit="1" customWidth="1"/>
    <col min="7" max="7" width="15.85546875" bestFit="1" customWidth="1"/>
    <col min="8" max="8" width="35.42578125" bestFit="1" customWidth="1"/>
    <col min="9" max="9" width="41.28515625" customWidth="1"/>
    <col min="12" max="12" width="14.42578125" bestFit="1" customWidth="1"/>
    <col min="13" max="13" width="39.7109375" bestFit="1" customWidth="1"/>
  </cols>
  <sheetData>
    <row r="1" spans="1:13" x14ac:dyDescent="0.25">
      <c r="B1" s="7" t="s">
        <v>18</v>
      </c>
      <c r="C1" s="7" t="s">
        <v>7</v>
      </c>
      <c r="D1" s="7" t="s">
        <v>38</v>
      </c>
      <c r="E1" s="7" t="s">
        <v>39</v>
      </c>
      <c r="F1" s="7" t="s">
        <v>10</v>
      </c>
      <c r="G1" s="7" t="s">
        <v>21</v>
      </c>
      <c r="H1" s="7" t="s">
        <v>22</v>
      </c>
      <c r="I1" s="7" t="s">
        <v>23</v>
      </c>
      <c r="J1" s="7" t="s">
        <v>24</v>
      </c>
      <c r="K1" s="7" t="s">
        <v>25</v>
      </c>
      <c r="L1" s="7" t="s">
        <v>26</v>
      </c>
      <c r="M1" s="7" t="s">
        <v>27</v>
      </c>
    </row>
    <row r="2" spans="1:13" ht="15.75" x14ac:dyDescent="0.25">
      <c r="A2" t="str">
        <f t="shared" ref="A2:A8" si="0">CONCATENATE(B2,E2)</f>
        <v xml:space="preserve">SASSARIAUTISMO 
RESIDENZIALE 
 </v>
      </c>
      <c r="B2" t="s">
        <v>17</v>
      </c>
      <c r="C2" t="s">
        <v>5</v>
      </c>
      <c r="D2" t="s">
        <v>0</v>
      </c>
      <c r="E2" t="s">
        <v>36</v>
      </c>
      <c r="F2" t="s">
        <v>29</v>
      </c>
      <c r="G2" s="5">
        <f>VLOOKUP(B2,POPOLAZIONE!A$2:C$9,3,0)</f>
        <v>0.20051177607843707</v>
      </c>
      <c r="H2" s="4">
        <f t="shared" ref="H2:H8" si="1">COUNTIF(A$2:A$13,A2)</f>
        <v>1</v>
      </c>
      <c r="I2" s="4">
        <f t="shared" ref="I2:I8" si="2">COUNTIF(E$2:E$13,E2)</f>
        <v>3</v>
      </c>
      <c r="J2" s="4">
        <f t="shared" ref="J2:J4" si="3">IF(1-(H2/I2)=0,1,1-(H2/I2))</f>
        <v>0.66666666666666674</v>
      </c>
      <c r="K2" s="10">
        <f t="shared" ref="K2:K4" si="4">AVERAGE(J2,G2)</f>
        <v>0.4335892213725519</v>
      </c>
      <c r="L2" s="13">
        <f t="shared" ref="L2:L8" si="5">K2/SUMIF(F$2:F$13,F2,K$2:K$13)</f>
        <v>0.14685131329021117</v>
      </c>
      <c r="M2" s="10">
        <f ca="1">'00 - BUDGET'!C$7*L2</f>
        <v>49068.513549617113</v>
      </c>
    </row>
    <row r="3" spans="1:13" ht="15.75" x14ac:dyDescent="0.25">
      <c r="A3" t="str">
        <f t="shared" si="0"/>
        <v xml:space="preserve">SASSARIAUTISMO 
SEMIRESIDENZIALE </v>
      </c>
      <c r="B3" t="s">
        <v>17</v>
      </c>
      <c r="C3" t="s">
        <v>5</v>
      </c>
      <c r="D3" t="s">
        <v>0</v>
      </c>
      <c r="E3" t="s">
        <v>37</v>
      </c>
      <c r="F3" t="s">
        <v>29</v>
      </c>
      <c r="G3" s="5">
        <f>VLOOKUP(B3,POPOLAZIONE!A$2:C$9,3,0)</f>
        <v>0.20051177607843707</v>
      </c>
      <c r="H3" s="4">
        <f t="shared" si="1"/>
        <v>2</v>
      </c>
      <c r="I3" s="4">
        <f t="shared" si="2"/>
        <v>4</v>
      </c>
      <c r="J3" s="4">
        <f t="shared" si="3"/>
        <v>0.5</v>
      </c>
      <c r="K3" s="10">
        <f t="shared" si="4"/>
        <v>0.35025588803921853</v>
      </c>
      <c r="L3" s="13">
        <f t="shared" si="5"/>
        <v>0.11862734268016678</v>
      </c>
      <c r="M3" s="10">
        <f ca="1">'00 - BUDGET'!C$7*L3</f>
        <v>39637.829865051972</v>
      </c>
    </row>
    <row r="4" spans="1:13" ht="15.75" x14ac:dyDescent="0.25">
      <c r="A4" t="str">
        <f t="shared" si="0"/>
        <v xml:space="preserve">CAGLIARIAUTISMO 
RESIDENZIALE 
 </v>
      </c>
      <c r="B4" t="s">
        <v>15</v>
      </c>
      <c r="C4" t="s">
        <v>6</v>
      </c>
      <c r="D4" t="s">
        <v>1</v>
      </c>
      <c r="E4" t="s">
        <v>36</v>
      </c>
      <c r="F4" t="s">
        <v>29</v>
      </c>
      <c r="G4" s="5">
        <f>VLOOKUP(B4,POPOLAZIONE!A$2:C$9,3,0)</f>
        <v>0.34343362439390379</v>
      </c>
      <c r="H4" s="4">
        <f t="shared" si="1"/>
        <v>1</v>
      </c>
      <c r="I4" s="4">
        <f t="shared" si="2"/>
        <v>3</v>
      </c>
      <c r="J4" s="4">
        <f t="shared" si="3"/>
        <v>0.66666666666666674</v>
      </c>
      <c r="K4" s="10">
        <f t="shared" si="4"/>
        <v>0.50505014553028527</v>
      </c>
      <c r="L4" s="13">
        <f t="shared" si="5"/>
        <v>0.1710542455685449</v>
      </c>
      <c r="M4" s="10">
        <f ca="1">'00 - BUDGET'!C$7*L4</f>
        <v>57155.618008076504</v>
      </c>
    </row>
    <row r="5" spans="1:13" ht="15.75" x14ac:dyDescent="0.25">
      <c r="A5" t="str">
        <f t="shared" si="0"/>
        <v xml:space="preserve">CAGLIARIAUTISMO 
SEMIRESIDENZIALE </v>
      </c>
      <c r="B5" t="s">
        <v>15</v>
      </c>
      <c r="C5" t="s">
        <v>6</v>
      </c>
      <c r="D5" t="s">
        <v>1</v>
      </c>
      <c r="E5" t="s">
        <v>37</v>
      </c>
      <c r="F5" t="s">
        <v>29</v>
      </c>
      <c r="G5" s="5">
        <f>VLOOKUP(B5,POPOLAZIONE!A$2:C$9,3,0)</f>
        <v>0.34343362439390379</v>
      </c>
      <c r="H5" s="4">
        <f t="shared" si="1"/>
        <v>1</v>
      </c>
      <c r="I5" s="4">
        <f t="shared" si="2"/>
        <v>4</v>
      </c>
      <c r="J5" s="4">
        <f t="shared" ref="J5:J8" si="6">IF(1-(H5/I5)=0,1,1-(H5/I5))</f>
        <v>0.75</v>
      </c>
      <c r="K5" s="10">
        <f t="shared" ref="K5:K8" si="7">AVERAGE(J5,G5)</f>
        <v>0.5467168121969519</v>
      </c>
      <c r="L5" s="13">
        <f t="shared" si="5"/>
        <v>0.18516623087356707</v>
      </c>
      <c r="M5" s="10">
        <f ca="1">'00 - BUDGET'!C$7*L5</f>
        <v>61870.959850359061</v>
      </c>
    </row>
    <row r="6" spans="1:13" ht="15.75" x14ac:dyDescent="0.25">
      <c r="A6" t="str">
        <f t="shared" si="0"/>
        <v xml:space="preserve">MEDIOCAMPIDANOAUTISMO 
RESIDENZIALE 
 </v>
      </c>
      <c r="B6" t="s">
        <v>34</v>
      </c>
      <c r="C6" t="s">
        <v>31</v>
      </c>
      <c r="D6" t="s">
        <v>9</v>
      </c>
      <c r="E6" t="s">
        <v>36</v>
      </c>
      <c r="F6" t="s">
        <v>29</v>
      </c>
      <c r="G6" s="5">
        <f>VLOOKUP(B6,POPOLAZIONE!A$2:C$9,3,0)</f>
        <v>5.837170289017414E-2</v>
      </c>
      <c r="H6" s="4">
        <f t="shared" si="1"/>
        <v>1</v>
      </c>
      <c r="I6" s="4">
        <f t="shared" si="2"/>
        <v>3</v>
      </c>
      <c r="J6" s="4">
        <f t="shared" si="6"/>
        <v>0.66666666666666674</v>
      </c>
      <c r="K6" s="10">
        <f t="shared" si="7"/>
        <v>0.36251918477842043</v>
      </c>
      <c r="L6" s="13">
        <f t="shared" si="5"/>
        <v>0.12278076980116064</v>
      </c>
      <c r="M6" s="10">
        <f ca="1">'00 - BUDGET'!C$7*L6</f>
        <v>41025.64513478044</v>
      </c>
    </row>
    <row r="7" spans="1:13" ht="15.75" x14ac:dyDescent="0.25">
      <c r="A7" t="str">
        <f t="shared" si="0"/>
        <v xml:space="preserve">MEDIOCAMPIDANOAUTISMO 
SEMIRESIDENZIALE </v>
      </c>
      <c r="B7" t="s">
        <v>34</v>
      </c>
      <c r="C7" t="s">
        <v>31</v>
      </c>
      <c r="D7" t="s">
        <v>9</v>
      </c>
      <c r="E7" t="s">
        <v>37</v>
      </c>
      <c r="F7" t="s">
        <v>29</v>
      </c>
      <c r="G7" s="5">
        <f>VLOOKUP(B7,POPOLAZIONE!A$2:C$9,3,0)</f>
        <v>5.837170289017414E-2</v>
      </c>
      <c r="H7" s="4">
        <f t="shared" si="1"/>
        <v>1</v>
      </c>
      <c r="I7" s="4">
        <f t="shared" si="2"/>
        <v>4</v>
      </c>
      <c r="J7" s="4">
        <f t="shared" si="6"/>
        <v>0.75</v>
      </c>
      <c r="K7" s="10">
        <f t="shared" si="7"/>
        <v>0.40418585144508706</v>
      </c>
      <c r="L7" s="13">
        <f t="shared" si="5"/>
        <v>0.13689275510618282</v>
      </c>
      <c r="M7" s="10">
        <f ca="1">'00 - BUDGET'!C$7*L7</f>
        <v>45740.986977063003</v>
      </c>
    </row>
    <row r="8" spans="1:13" ht="15.75" x14ac:dyDescent="0.25">
      <c r="A8" t="str">
        <f t="shared" si="0"/>
        <v xml:space="preserve">SASSARIAUTISMO 
SEMIRESIDENZIALE </v>
      </c>
      <c r="B8" t="s">
        <v>17</v>
      </c>
      <c r="C8" t="s">
        <v>32</v>
      </c>
      <c r="D8" t="s">
        <v>3</v>
      </c>
      <c r="E8" t="s">
        <v>37</v>
      </c>
      <c r="F8" t="s">
        <v>29</v>
      </c>
      <c r="G8" s="5">
        <f>VLOOKUP(B8,POPOLAZIONE!A$2:C$9,3,0)</f>
        <v>0.20051177607843707</v>
      </c>
      <c r="H8" s="4">
        <f t="shared" si="1"/>
        <v>2</v>
      </c>
      <c r="I8" s="4">
        <f t="shared" si="2"/>
        <v>4</v>
      </c>
      <c r="J8" s="4">
        <f t="shared" si="6"/>
        <v>0.5</v>
      </c>
      <c r="K8" s="10">
        <f t="shared" si="7"/>
        <v>0.35025588803921853</v>
      </c>
      <c r="L8" s="13">
        <f t="shared" si="5"/>
        <v>0.11862734268016678</v>
      </c>
      <c r="M8" s="10">
        <f ca="1">'00 - BUDGET'!C$7*L8</f>
        <v>39637.829865051972</v>
      </c>
    </row>
  </sheetData>
  <autoFilter ref="A1:M8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sqref="A1:B5"/>
    </sheetView>
  </sheetViews>
  <sheetFormatPr defaultRowHeight="15" x14ac:dyDescent="0.25"/>
  <cols>
    <col min="1" max="1" width="72.42578125" bestFit="1" customWidth="1"/>
    <col min="2" max="2" width="15.28515625" bestFit="1" customWidth="1"/>
    <col min="3" max="3" width="14.7109375" bestFit="1" customWidth="1"/>
  </cols>
  <sheetData>
    <row r="1" spans="1:3" x14ac:dyDescent="0.25">
      <c r="A1" s="7" t="s">
        <v>7</v>
      </c>
      <c r="B1" s="7" t="s">
        <v>10</v>
      </c>
      <c r="C1" s="7" t="s">
        <v>2</v>
      </c>
    </row>
    <row r="2" spans="1:3" x14ac:dyDescent="0.25">
      <c r="A2" t="s">
        <v>6</v>
      </c>
      <c r="B2" t="s">
        <v>29</v>
      </c>
      <c r="C2" s="2">
        <f ca="1">SUMIF('03_1 - CAPILLARIZZAZIONE'!C$2:C$15,A2,'03_1 - CAPILLARIZZAZIONE'!M$2:M$15)</f>
        <v>119026.57785843557</v>
      </c>
    </row>
    <row r="3" spans="1:3" x14ac:dyDescent="0.25">
      <c r="A3" t="s">
        <v>32</v>
      </c>
      <c r="B3" t="s">
        <v>29</v>
      </c>
      <c r="C3" s="2">
        <f ca="1">SUMIF('03_1 - CAPILLARIZZAZIONE'!C$2:C$15,A3,'03_1 - CAPILLARIZZAZIONE'!M$2:M$15)</f>
        <v>39637.829865051972</v>
      </c>
    </row>
    <row r="4" spans="1:3" x14ac:dyDescent="0.25">
      <c r="A4" t="s">
        <v>31</v>
      </c>
      <c r="B4" t="s">
        <v>29</v>
      </c>
      <c r="C4" s="2">
        <f ca="1">SUMIF('03_1 - CAPILLARIZZAZIONE'!C$2:C$15,A4,'03_1 - CAPILLARIZZAZIONE'!M$2:M$15)</f>
        <v>86766.632111843443</v>
      </c>
    </row>
    <row r="5" spans="1:3" x14ac:dyDescent="0.25">
      <c r="A5" t="s">
        <v>5</v>
      </c>
      <c r="B5" t="s">
        <v>29</v>
      </c>
      <c r="C5" s="2">
        <f ca="1">SUMIF('03_1 - CAPILLARIZZAZIONE'!C$2:C$15,A5,'03_1 - CAPILLARIZZAZIONE'!M$2:M$15)</f>
        <v>88706.343414669085</v>
      </c>
    </row>
  </sheetData>
  <autoFilter ref="A1:C5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pane xSplit="1" topLeftCell="I1" activePane="topRight" state="frozen"/>
      <selection pane="topRight" activeCell="P9" sqref="P9"/>
    </sheetView>
  </sheetViews>
  <sheetFormatPr defaultRowHeight="15" x14ac:dyDescent="0.25"/>
  <cols>
    <col min="1" max="1" width="72.42578125" bestFit="1" customWidth="1"/>
    <col min="2" max="2" width="15.28515625" customWidth="1"/>
    <col min="3" max="3" width="15.7109375" bestFit="1" customWidth="1"/>
    <col min="4" max="4" width="15.7109375" customWidth="1"/>
    <col min="5" max="5" width="18.140625" bestFit="1" customWidth="1"/>
    <col min="6" max="7" width="14.7109375" customWidth="1"/>
    <col min="8" max="8" width="18.85546875" bestFit="1" customWidth="1"/>
    <col min="9" max="9" width="26.140625" bestFit="1" customWidth="1"/>
    <col min="10" max="10" width="14.85546875" customWidth="1"/>
    <col min="11" max="11" width="18.140625" customWidth="1"/>
  </cols>
  <sheetData>
    <row r="1" spans="1:12" x14ac:dyDescent="0.25">
      <c r="A1" s="18"/>
      <c r="B1" s="18"/>
      <c r="C1" s="18"/>
      <c r="D1" s="18"/>
      <c r="E1" s="18"/>
      <c r="F1" s="22" t="s">
        <v>11</v>
      </c>
      <c r="G1" s="22"/>
      <c r="H1" s="22"/>
      <c r="I1" s="18"/>
      <c r="J1" s="18"/>
      <c r="K1" s="19"/>
    </row>
    <row r="2" spans="1:12" ht="45" x14ac:dyDescent="0.25">
      <c r="A2" s="21" t="s">
        <v>7</v>
      </c>
      <c r="B2" s="21" t="s">
        <v>10</v>
      </c>
      <c r="C2" s="21" t="s">
        <v>8</v>
      </c>
      <c r="D2" s="21" t="s">
        <v>4</v>
      </c>
      <c r="E2" s="21" t="s">
        <v>30</v>
      </c>
      <c r="F2" s="21" t="s">
        <v>4</v>
      </c>
      <c r="G2" s="21" t="s">
        <v>8</v>
      </c>
      <c r="H2" s="21" t="s">
        <v>12</v>
      </c>
      <c r="I2" s="21" t="s">
        <v>45</v>
      </c>
      <c r="J2" s="21" t="s">
        <v>46</v>
      </c>
      <c r="K2" s="21" t="s">
        <v>47</v>
      </c>
    </row>
    <row r="3" spans="1:12" x14ac:dyDescent="0.25">
      <c r="A3" s="18" t="s">
        <v>6</v>
      </c>
      <c r="B3" s="18" t="s">
        <v>29</v>
      </c>
      <c r="C3" s="20">
        <v>1833629.25</v>
      </c>
      <c r="D3" s="20">
        <v>737728.57</v>
      </c>
      <c r="E3" s="20">
        <v>877345.98</v>
      </c>
      <c r="F3" s="20">
        <f ca="1">VLOOKUP(A3,'01 - FATTURATO'!A$1:E$7,5,0)</f>
        <v>685639.15617941204</v>
      </c>
      <c r="G3" s="20">
        <f ca="1">VLOOKUP(A3,'02 - CAPACITA'!A$1:E$7,5,0)</f>
        <v>252124.02187500003</v>
      </c>
      <c r="H3" s="20">
        <f ca="1">VLOOKUP(A3,'03 - CAPILLARIZZAZIONE'!A$1:C$7,3,0)</f>
        <v>119026.57785843557</v>
      </c>
      <c r="I3" s="20">
        <f t="shared" ref="I3:I6" ca="1" si="0">F3+G3+H3</f>
        <v>1056789.7559128478</v>
      </c>
      <c r="J3" s="19">
        <f ca="1">(I3-E3)/E3</f>
        <v>0.20453023095044881</v>
      </c>
      <c r="K3" s="20">
        <f ca="1">IF(I3&gt;=E3,IF(J3&gt;'00 - BUDGET'!C$10,E3*(1+'00 - BUDGET'!C$10),I3),IF(J3&lt;0,E3,I3))</f>
        <v>921213.27899999998</v>
      </c>
      <c r="L3" s="2"/>
    </row>
    <row r="4" spans="1:12" x14ac:dyDescent="0.25">
      <c r="A4" s="18" t="s">
        <v>32</v>
      </c>
      <c r="B4" s="18" t="s">
        <v>29</v>
      </c>
      <c r="C4" s="20">
        <v>763344.4</v>
      </c>
      <c r="D4" s="20">
        <v>37767.023999999998</v>
      </c>
      <c r="E4" s="20">
        <v>256074</v>
      </c>
      <c r="F4" s="20">
        <f ca="1">VLOOKUP(A4,'01 - FATTURATO'!A$1:E$7,5,0)</f>
        <v>35100.376371173479</v>
      </c>
      <c r="G4" s="20">
        <f ca="1">VLOOKUP(A4,'02 - CAPACITA'!A$1:E$7,5,0)</f>
        <v>104959.85500000003</v>
      </c>
      <c r="H4" s="20">
        <f ca="1">VLOOKUP(A4,'03 - CAPILLARIZZAZIONE'!A$1:C$7,3,0)</f>
        <v>39637.829865051972</v>
      </c>
      <c r="I4" s="20">
        <f t="shared" ca="1" si="0"/>
        <v>179698.06123622548</v>
      </c>
      <c r="J4" s="19">
        <f t="shared" ref="J4:J6" ca="1" si="1">(I4-E4)/E4</f>
        <v>-0.29825729579642807</v>
      </c>
      <c r="K4" s="20">
        <f ca="1">IF(I4&gt;=E4,IF(J4&gt;'00 - BUDGET'!C$10,E4*(1+'00 - BUDGET'!C$10),I4),IF(J4&lt;0,E4,I4))</f>
        <v>256074</v>
      </c>
      <c r="L4" s="2"/>
    </row>
    <row r="5" spans="1:12" x14ac:dyDescent="0.25">
      <c r="A5" s="18" t="s">
        <v>31</v>
      </c>
      <c r="B5" s="18" t="s">
        <v>29</v>
      </c>
      <c r="C5" s="20">
        <v>425257.05</v>
      </c>
      <c r="D5" s="20">
        <v>0</v>
      </c>
      <c r="E5" s="20">
        <v>148839.97</v>
      </c>
      <c r="F5" s="20">
        <f ca="1">VLOOKUP(A5,'01 - FATTURATO'!A$1:E$7,5,0)</f>
        <v>0</v>
      </c>
      <c r="G5" s="20">
        <f ca="1">VLOOKUP(A5,'02 - CAPACITA'!A$1:E$7,5,0)</f>
        <v>58472.844375000008</v>
      </c>
      <c r="H5" s="20">
        <f ca="1">VLOOKUP(A5,'03 - CAPILLARIZZAZIONE'!A$1:C$7,3,0)</f>
        <v>86766.632111843443</v>
      </c>
      <c r="I5" s="20">
        <f t="shared" ca="1" si="0"/>
        <v>145239.47648684346</v>
      </c>
      <c r="J5" s="19">
        <f t="shared" ca="1" si="1"/>
        <v>-2.4190367098008307E-2</v>
      </c>
      <c r="K5" s="20">
        <f ca="1">IF(I5&gt;=E5,IF(J5&gt;'00 - BUDGET'!C$10,E5*(1+'00 - BUDGET'!C$10),I5),IF(J5&lt;0,E5,I5))</f>
        <v>148839.97</v>
      </c>
      <c r="L5" s="2"/>
    </row>
    <row r="6" spans="1:12" x14ac:dyDescent="0.25">
      <c r="A6" s="18" t="s">
        <v>5</v>
      </c>
      <c r="B6" s="18" t="s">
        <v>29</v>
      </c>
      <c r="C6" s="20">
        <v>1027919.4</v>
      </c>
      <c r="D6" s="20">
        <v>662594.35</v>
      </c>
      <c r="E6" s="20">
        <v>839583.21</v>
      </c>
      <c r="F6" s="20">
        <f ca="1">VLOOKUP(A6,'01 - FATTURATO'!A$1:E$7,5,0)</f>
        <v>615810.0004494146</v>
      </c>
      <c r="G6" s="20">
        <f ca="1">VLOOKUP(A6,'02 - CAPACITA'!A$1:E$7,5,0)</f>
        <v>141338.91750000001</v>
      </c>
      <c r="H6" s="20">
        <f ca="1">VLOOKUP(A6,'03 - CAPILLARIZZAZIONE'!A$1:C$7,3,0)</f>
        <v>88706.343414669085</v>
      </c>
      <c r="I6" s="20">
        <f t="shared" ca="1" si="0"/>
        <v>845855.26136408362</v>
      </c>
      <c r="J6" s="19">
        <f t="shared" ca="1" si="1"/>
        <v>7.4704344838954773E-3</v>
      </c>
      <c r="K6" s="20">
        <f ca="1">IF(I6&gt;=E6,IF(J6&gt;'00 - BUDGET'!C$10,E6*(1+'00 - BUDGET'!C$10),I6),IF(J6&lt;0,E6,I6))</f>
        <v>845855.26136408362</v>
      </c>
      <c r="L6" s="2"/>
    </row>
    <row r="7" spans="1:12" x14ac:dyDescent="0.25">
      <c r="E7" s="2"/>
    </row>
    <row r="8" spans="1:12" x14ac:dyDescent="0.25">
      <c r="A8" s="15"/>
    </row>
    <row r="10" spans="1:12" x14ac:dyDescent="0.25">
      <c r="F10" s="1"/>
    </row>
    <row r="11" spans="1:12" x14ac:dyDescent="0.25">
      <c r="G11" s="14"/>
    </row>
    <row r="12" spans="1:12" x14ac:dyDescent="0.25">
      <c r="E12" s="1"/>
      <c r="F12" s="2"/>
    </row>
  </sheetData>
  <mergeCells count="1">
    <mergeCell ref="F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POPOLAZIONE</vt:lpstr>
      <vt:lpstr>00 - BUDGET</vt:lpstr>
      <vt:lpstr>01 - FATTURATO</vt:lpstr>
      <vt:lpstr>02 - CAPACITA</vt:lpstr>
      <vt:lpstr>03_1 - CAPILLARIZZAZIONE</vt:lpstr>
      <vt:lpstr>03 - CAPILLARIZZAZIONE</vt:lpstr>
      <vt:lpstr>04 - TOTALE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Mocci</dc:creator>
  <cp:lastModifiedBy>Marco Mocci</cp:lastModifiedBy>
  <dcterms:created xsi:type="dcterms:W3CDTF">2022-02-28T06:18:22Z</dcterms:created>
  <dcterms:modified xsi:type="dcterms:W3CDTF">2023-07-21T06:20:17Z</dcterms:modified>
</cp:coreProperties>
</file>