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54805fanni\Desktop\Piano salute mentale 20.01.2025\"/>
    </mc:Choice>
  </mc:AlternateContent>
  <bookViews>
    <workbookView xWindow="0" yWindow="0" windowWidth="20490" windowHeight="7350" tabRatio="500"/>
  </bookViews>
  <sheets>
    <sheet name="NUOVI" sheetId="1" r:id="rId1"/>
    <sheet name="00-BUDGET" sheetId="2" r:id="rId2"/>
    <sheet name="01-FATTURATO" sheetId="3" r:id="rId3"/>
    <sheet name="02-CAPACITA" sheetId="4" r:id="rId4"/>
    <sheet name="03-CAPILLARIZZAZIONE calc" sheetId="5" r:id="rId5"/>
    <sheet name="03-CAPILLARIZZAZIONE" sheetId="6" r:id="rId6"/>
    <sheet name="04 - TOTALE" sheetId="7" r:id="rId7"/>
  </sheets>
  <definedNames>
    <definedName name="_xlnm._FilterDatabase" localSheetId="4" hidden="1">'03-CAPILLARIZZAZIONE calc'!$A$1:$O$42</definedName>
    <definedName name="_xlnm._FilterDatabase" localSheetId="6" hidden="1">'04 - TOTALE'!$A$1:$N$22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F22" i="7" l="1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13" i="7"/>
  <c r="E13" i="7"/>
  <c r="F12" i="7"/>
  <c r="E12" i="7"/>
  <c r="F11" i="7"/>
  <c r="E11" i="7"/>
  <c r="F10" i="7"/>
  <c r="E10" i="7"/>
  <c r="F9" i="7"/>
  <c r="E9" i="7"/>
  <c r="F8" i="7"/>
  <c r="E8" i="7"/>
  <c r="A8" i="7"/>
  <c r="F7" i="7"/>
  <c r="E7" i="7"/>
  <c r="A7" i="7"/>
  <c r="F6" i="7"/>
  <c r="E6" i="7"/>
  <c r="A6" i="7"/>
  <c r="F5" i="7"/>
  <c r="E5" i="7"/>
  <c r="A5" i="7"/>
  <c r="F4" i="7"/>
  <c r="E4" i="7"/>
  <c r="A4" i="7"/>
  <c r="F3" i="7"/>
  <c r="E3" i="7"/>
  <c r="A3" i="7"/>
  <c r="F2" i="7"/>
  <c r="E2" i="7"/>
  <c r="A2" i="7"/>
  <c r="A8" i="6"/>
  <c r="A7" i="6"/>
  <c r="A6" i="6"/>
  <c r="A5" i="6"/>
  <c r="A4" i="6"/>
  <c r="A3" i="6"/>
  <c r="A2" i="6"/>
  <c r="I42" i="5"/>
  <c r="G42" i="5"/>
  <c r="I41" i="5"/>
  <c r="G41" i="5"/>
  <c r="I40" i="5"/>
  <c r="G40" i="5"/>
  <c r="I39" i="5"/>
  <c r="G39" i="5"/>
  <c r="I38" i="5"/>
  <c r="G38" i="5"/>
  <c r="I37" i="5"/>
  <c r="G37" i="5"/>
  <c r="I36" i="5"/>
  <c r="G36" i="5"/>
  <c r="I35" i="5"/>
  <c r="G35" i="5"/>
  <c r="I34" i="5"/>
  <c r="G34" i="5"/>
  <c r="I33" i="5"/>
  <c r="G33" i="5"/>
  <c r="I32" i="5"/>
  <c r="G32" i="5"/>
  <c r="I31" i="5"/>
  <c r="G31" i="5"/>
  <c r="I30" i="5"/>
  <c r="G30" i="5"/>
  <c r="I29" i="5"/>
  <c r="G29" i="5"/>
  <c r="I28" i="5"/>
  <c r="G28" i="5"/>
  <c r="I27" i="5"/>
  <c r="G27" i="5"/>
  <c r="I26" i="5"/>
  <c r="G26" i="5"/>
  <c r="I25" i="5"/>
  <c r="G25" i="5"/>
  <c r="I24" i="5"/>
  <c r="G24" i="5"/>
  <c r="I23" i="5"/>
  <c r="G23" i="5"/>
  <c r="I22" i="5"/>
  <c r="G22" i="5"/>
  <c r="H22" i="5" s="1"/>
  <c r="J22" i="5" s="1"/>
  <c r="K22" i="5" s="1"/>
  <c r="I21" i="5"/>
  <c r="G21" i="5"/>
  <c r="H21" i="5" s="1"/>
  <c r="J21" i="5" s="1"/>
  <c r="K21" i="5" s="1"/>
  <c r="I20" i="5"/>
  <c r="G20" i="5"/>
  <c r="I19" i="5"/>
  <c r="G19" i="5"/>
  <c r="I18" i="5"/>
  <c r="G18" i="5"/>
  <c r="I17" i="5"/>
  <c r="G17" i="5"/>
  <c r="I16" i="5"/>
  <c r="G16" i="5"/>
  <c r="A16" i="5"/>
  <c r="I15" i="5"/>
  <c r="G15" i="5"/>
  <c r="A15" i="5"/>
  <c r="I14" i="5"/>
  <c r="G14" i="5"/>
  <c r="A14" i="5"/>
  <c r="I13" i="5"/>
  <c r="G13" i="5"/>
  <c r="A13" i="5"/>
  <c r="I12" i="5"/>
  <c r="G12" i="5"/>
  <c r="A12" i="5"/>
  <c r="I11" i="5"/>
  <c r="G11" i="5"/>
  <c r="A11" i="5"/>
  <c r="I10" i="5"/>
  <c r="G10" i="5"/>
  <c r="A10" i="5"/>
  <c r="I9" i="5"/>
  <c r="G9" i="5"/>
  <c r="A9" i="5"/>
  <c r="I8" i="5"/>
  <c r="G8" i="5"/>
  <c r="A8" i="5"/>
  <c r="I7" i="5"/>
  <c r="G7" i="5"/>
  <c r="A7" i="5"/>
  <c r="I6" i="5"/>
  <c r="G6" i="5"/>
  <c r="A6" i="5"/>
  <c r="I5" i="5"/>
  <c r="G5" i="5"/>
  <c r="A5" i="5"/>
  <c r="I4" i="5"/>
  <c r="G4" i="5"/>
  <c r="A4" i="5"/>
  <c r="I3" i="5"/>
  <c r="G3" i="5"/>
  <c r="H3" i="5" s="1"/>
  <c r="J3" i="5" s="1"/>
  <c r="K3" i="5" s="1"/>
  <c r="A3" i="5"/>
  <c r="I2" i="5"/>
  <c r="H2" i="5"/>
  <c r="J2" i="5" s="1"/>
  <c r="K2" i="5" s="1"/>
  <c r="G2" i="5"/>
  <c r="H32" i="5" s="1"/>
  <c r="J32" i="5" s="1"/>
  <c r="K32" i="5" s="1"/>
  <c r="A2" i="5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A8" i="4"/>
  <c r="D7" i="4"/>
  <c r="A7" i="4"/>
  <c r="D6" i="4"/>
  <c r="A6" i="4"/>
  <c r="D5" i="4"/>
  <c r="A5" i="4"/>
  <c r="D4" i="4"/>
  <c r="A4" i="4"/>
  <c r="D3" i="4"/>
  <c r="A3" i="4"/>
  <c r="D2" i="4"/>
  <c r="A2" i="4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A8" i="3"/>
  <c r="D7" i="3"/>
  <c r="A7" i="3"/>
  <c r="D6" i="3"/>
  <c r="A6" i="3"/>
  <c r="D5" i="3"/>
  <c r="A5" i="3"/>
  <c r="D4" i="3"/>
  <c r="A4" i="3"/>
  <c r="D3" i="3"/>
  <c r="A3" i="3"/>
  <c r="D2" i="3"/>
  <c r="A2" i="3"/>
  <c r="E16" i="2"/>
  <c r="G16" i="2" s="1"/>
  <c r="G15" i="2"/>
  <c r="E15" i="2"/>
  <c r="G14" i="2"/>
  <c r="E14" i="2"/>
  <c r="F5" i="2"/>
  <c r="F4" i="2"/>
  <c r="F6" i="2" s="1"/>
  <c r="D4" i="2"/>
  <c r="B4" i="2"/>
  <c r="F3" i="2"/>
  <c r="D3" i="2"/>
  <c r="B3" i="2"/>
  <c r="G7" i="1"/>
  <c r="F7" i="1"/>
  <c r="G6" i="1"/>
  <c r="F6" i="1"/>
  <c r="G5" i="1"/>
  <c r="F5" i="1"/>
  <c r="E5" i="1"/>
  <c r="G4" i="1"/>
  <c r="F4" i="1"/>
  <c r="E4" i="1"/>
  <c r="G3" i="1"/>
  <c r="F3" i="1"/>
  <c r="G2" i="1"/>
  <c r="F2" i="1"/>
  <c r="D5" i="2" s="1"/>
  <c r="E2" i="1"/>
  <c r="B5" i="2" s="1"/>
  <c r="B6" i="2" s="1"/>
  <c r="F7" i="2" l="1"/>
  <c r="B7" i="2"/>
  <c r="D6" i="2"/>
  <c r="D7" i="2" s="1"/>
  <c r="H17" i="5"/>
  <c r="J17" i="5" s="1"/>
  <c r="K17" i="5" s="1"/>
  <c r="H18" i="5"/>
  <c r="J18" i="5" s="1"/>
  <c r="K18" i="5" s="1"/>
  <c r="H20" i="5"/>
  <c r="J20" i="5" s="1"/>
  <c r="K20" i="5" s="1"/>
  <c r="H33" i="5"/>
  <c r="J33" i="5" s="1"/>
  <c r="K33" i="5" s="1"/>
  <c r="H34" i="5"/>
  <c r="J34" i="5" s="1"/>
  <c r="K34" i="5" s="1"/>
  <c r="H38" i="5"/>
  <c r="J38" i="5" s="1"/>
  <c r="K38" i="5" s="1"/>
  <c r="H5" i="5"/>
  <c r="J5" i="5" s="1"/>
  <c r="K5" i="5" s="1"/>
  <c r="H7" i="5"/>
  <c r="J7" i="5" s="1"/>
  <c r="K7" i="5" s="1"/>
  <c r="H9" i="5"/>
  <c r="J9" i="5" s="1"/>
  <c r="K9" i="5" s="1"/>
  <c r="H11" i="5"/>
  <c r="J11" i="5" s="1"/>
  <c r="K11" i="5" s="1"/>
  <c r="H13" i="5"/>
  <c r="J13" i="5" s="1"/>
  <c r="K13" i="5" s="1"/>
  <c r="H15" i="5"/>
  <c r="J15" i="5" s="1"/>
  <c r="K15" i="5" s="1"/>
  <c r="H16" i="5"/>
  <c r="J16" i="5" s="1"/>
  <c r="K16" i="5" s="1"/>
  <c r="H29" i="5"/>
  <c r="J29" i="5" s="1"/>
  <c r="K29" i="5" s="1"/>
  <c r="H30" i="5"/>
  <c r="J30" i="5" s="1"/>
  <c r="K30" i="5" s="1"/>
  <c r="H31" i="5"/>
  <c r="J31" i="5" s="1"/>
  <c r="K31" i="5" s="1"/>
  <c r="H23" i="5"/>
  <c r="J23" i="5" s="1"/>
  <c r="K23" i="5" s="1"/>
  <c r="H24" i="5"/>
  <c r="J24" i="5" s="1"/>
  <c r="K24" i="5" s="1"/>
  <c r="H41" i="5"/>
  <c r="J41" i="5" s="1"/>
  <c r="K41" i="5" s="1"/>
  <c r="H42" i="5"/>
  <c r="J42" i="5" s="1"/>
  <c r="K42" i="5" s="1"/>
  <c r="H19" i="5"/>
  <c r="J19" i="5" s="1"/>
  <c r="K19" i="5" s="1"/>
  <c r="H37" i="5"/>
  <c r="J37" i="5" s="1"/>
  <c r="K37" i="5" s="1"/>
  <c r="H4" i="5"/>
  <c r="J4" i="5" s="1"/>
  <c r="K4" i="5" s="1"/>
  <c r="L2" i="5" s="1"/>
  <c r="H6" i="5"/>
  <c r="J6" i="5" s="1"/>
  <c r="K6" i="5" s="1"/>
  <c r="H8" i="5"/>
  <c r="J8" i="5" s="1"/>
  <c r="K8" i="5" s="1"/>
  <c r="H10" i="5"/>
  <c r="J10" i="5" s="1"/>
  <c r="K10" i="5" s="1"/>
  <c r="L32" i="5" s="1"/>
  <c r="H12" i="5"/>
  <c r="J12" i="5" s="1"/>
  <c r="K12" i="5" s="1"/>
  <c r="H14" i="5"/>
  <c r="J14" i="5" s="1"/>
  <c r="K14" i="5" s="1"/>
  <c r="H25" i="5"/>
  <c r="J25" i="5" s="1"/>
  <c r="K25" i="5" s="1"/>
  <c r="H26" i="5"/>
  <c r="J26" i="5" s="1"/>
  <c r="K26" i="5" s="1"/>
  <c r="H27" i="5"/>
  <c r="J27" i="5" s="1"/>
  <c r="K27" i="5" s="1"/>
  <c r="H28" i="5"/>
  <c r="J28" i="5" s="1"/>
  <c r="K28" i="5" s="1"/>
  <c r="H35" i="5"/>
  <c r="J35" i="5" s="1"/>
  <c r="K35" i="5" s="1"/>
  <c r="L35" i="5" s="1"/>
  <c r="H36" i="5"/>
  <c r="J36" i="5" s="1"/>
  <c r="K36" i="5" s="1"/>
  <c r="H39" i="5"/>
  <c r="J39" i="5" s="1"/>
  <c r="K39" i="5" s="1"/>
  <c r="H40" i="5"/>
  <c r="J40" i="5" s="1"/>
  <c r="K40" i="5" s="1"/>
  <c r="F14" i="2" l="1"/>
  <c r="F15" i="2"/>
  <c r="F16" i="2"/>
  <c r="L26" i="5"/>
  <c r="L37" i="5"/>
  <c r="L23" i="5"/>
  <c r="L11" i="5"/>
  <c r="L22" i="5"/>
  <c r="L40" i="5"/>
  <c r="L25" i="5"/>
  <c r="L8" i="5"/>
  <c r="L19" i="5"/>
  <c r="L16" i="5"/>
  <c r="L9" i="5"/>
  <c r="L38" i="5"/>
  <c r="L18" i="5"/>
  <c r="L21" i="5"/>
  <c r="L10" i="5"/>
  <c r="L29" i="5"/>
  <c r="L20" i="5"/>
  <c r="L39" i="5"/>
  <c r="L28" i="5"/>
  <c r="L14" i="5"/>
  <c r="L6" i="5"/>
  <c r="L42" i="5"/>
  <c r="L31" i="5"/>
  <c r="L15" i="5"/>
  <c r="L7" i="5"/>
  <c r="L34" i="5"/>
  <c r="L17" i="5"/>
  <c r="D16" i="2"/>
  <c r="D15" i="2"/>
  <c r="D14" i="2"/>
  <c r="L36" i="5"/>
  <c r="L27" i="5"/>
  <c r="L12" i="5"/>
  <c r="L4" i="5"/>
  <c r="L41" i="5"/>
  <c r="L24" i="5"/>
  <c r="L30" i="5"/>
  <c r="L13" i="5"/>
  <c r="L5" i="5"/>
  <c r="L33" i="5"/>
  <c r="L3" i="5"/>
  <c r="H16" i="2"/>
  <c r="H14" i="2"/>
  <c r="H15" i="2"/>
  <c r="G6" i="4" l="1"/>
  <c r="G2" i="4"/>
  <c r="G3" i="4"/>
  <c r="G5" i="4"/>
  <c r="G22" i="4"/>
  <c r="G21" i="4"/>
  <c r="G20" i="4"/>
  <c r="G19" i="4"/>
  <c r="N19" i="7" s="1"/>
  <c r="O19" i="7" s="1"/>
  <c r="G18" i="4"/>
  <c r="G17" i="4"/>
  <c r="G16" i="4"/>
  <c r="G15" i="4"/>
  <c r="N15" i="7" s="1"/>
  <c r="O15" i="7" s="1"/>
  <c r="G14" i="4"/>
  <c r="G13" i="4"/>
  <c r="G12" i="4"/>
  <c r="G11" i="4"/>
  <c r="G10" i="4"/>
  <c r="G9" i="4"/>
  <c r="G8" i="4"/>
  <c r="G4" i="4"/>
  <c r="G7" i="4"/>
  <c r="E7" i="3"/>
  <c r="E3" i="3"/>
  <c r="E20" i="3"/>
  <c r="E17" i="3"/>
  <c r="E13" i="3"/>
  <c r="E10" i="3"/>
  <c r="E8" i="3"/>
  <c r="E6" i="3"/>
  <c r="E2" i="3"/>
  <c r="E5" i="3"/>
  <c r="E22" i="3"/>
  <c r="E19" i="3"/>
  <c r="E16" i="3"/>
  <c r="E15" i="3"/>
  <c r="E12" i="3"/>
  <c r="E9" i="3"/>
  <c r="E21" i="3"/>
  <c r="E18" i="3"/>
  <c r="E14" i="3"/>
  <c r="E11" i="3"/>
  <c r="E4" i="3"/>
  <c r="F7" i="4"/>
  <c r="F3" i="4"/>
  <c r="F22" i="4"/>
  <c r="F21" i="4"/>
  <c r="F19" i="4"/>
  <c r="F18" i="4"/>
  <c r="F17" i="4"/>
  <c r="F16" i="4"/>
  <c r="F14" i="4"/>
  <c r="F13" i="4"/>
  <c r="F11" i="4"/>
  <c r="F9" i="4"/>
  <c r="F8" i="4"/>
  <c r="F4" i="4"/>
  <c r="F6" i="4"/>
  <c r="F2" i="4"/>
  <c r="F5" i="4"/>
  <c r="F20" i="4"/>
  <c r="K20" i="7" s="1"/>
  <c r="L20" i="7" s="1"/>
  <c r="F15" i="4"/>
  <c r="F12" i="4"/>
  <c r="F10" i="4"/>
  <c r="G5" i="3"/>
  <c r="G2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4" i="3"/>
  <c r="G7" i="3"/>
  <c r="G3" i="3"/>
  <c r="G6" i="3"/>
  <c r="E22" i="4"/>
  <c r="E21" i="4"/>
  <c r="E20" i="4"/>
  <c r="E19" i="4"/>
  <c r="E18" i="4"/>
  <c r="E17" i="4"/>
  <c r="E16" i="4"/>
  <c r="E15" i="4"/>
  <c r="E14" i="4"/>
  <c r="E13" i="4"/>
  <c r="E12" i="4"/>
  <c r="E11" i="4"/>
  <c r="G11" i="7" s="1"/>
  <c r="E10" i="4"/>
  <c r="E9" i="4"/>
  <c r="E8" i="4"/>
  <c r="E4" i="4"/>
  <c r="E7" i="4"/>
  <c r="E3" i="4"/>
  <c r="E6" i="4"/>
  <c r="E2" i="4"/>
  <c r="E5" i="4"/>
  <c r="G5" i="7" s="1"/>
  <c r="F6" i="3"/>
  <c r="F2" i="3"/>
  <c r="F5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4" i="3"/>
  <c r="F7" i="3"/>
  <c r="F3" i="3"/>
  <c r="O42" i="5"/>
  <c r="O41" i="5"/>
  <c r="E18" i="6" s="1"/>
  <c r="O37" i="5"/>
  <c r="O40" i="5"/>
  <c r="E19" i="6" s="1"/>
  <c r="O36" i="5"/>
  <c r="O32" i="5"/>
  <c r="O28" i="5"/>
  <c r="O24" i="5"/>
  <c r="E16" i="6" s="1"/>
  <c r="O20" i="5"/>
  <c r="O16" i="5"/>
  <c r="O39" i="5"/>
  <c r="O38" i="5"/>
  <c r="O35" i="5"/>
  <c r="O31" i="5"/>
  <c r="E20" i="6" s="1"/>
  <c r="O27" i="5"/>
  <c r="E7" i="6" s="1"/>
  <c r="O23" i="5"/>
  <c r="E17" i="6" s="1"/>
  <c r="O19" i="5"/>
  <c r="O30" i="5"/>
  <c r="O26" i="5"/>
  <c r="E5" i="6" s="1"/>
  <c r="O22" i="5"/>
  <c r="O18" i="5"/>
  <c r="O21" i="5"/>
  <c r="E4" i="6" s="1"/>
  <c r="O15" i="5"/>
  <c r="O2" i="5"/>
  <c r="E15" i="6" s="1"/>
  <c r="O33" i="5"/>
  <c r="E2" i="6" s="1"/>
  <c r="O11" i="5"/>
  <c r="O10" i="5"/>
  <c r="O8" i="5"/>
  <c r="O25" i="5"/>
  <c r="E10" i="6" s="1"/>
  <c r="O34" i="5"/>
  <c r="E11" i="6" s="1"/>
  <c r="O13" i="5"/>
  <c r="O12" i="5"/>
  <c r="E6" i="6" s="1"/>
  <c r="O5" i="5"/>
  <c r="O4" i="5"/>
  <c r="E12" i="6" s="1"/>
  <c r="O3" i="5"/>
  <c r="E22" i="6" s="1"/>
  <c r="O29" i="5"/>
  <c r="O17" i="5"/>
  <c r="O14" i="5"/>
  <c r="O9" i="5"/>
  <c r="O7" i="5"/>
  <c r="O6" i="5"/>
  <c r="M40" i="5"/>
  <c r="C19" i="6" s="1"/>
  <c r="M39" i="5"/>
  <c r="M35" i="5"/>
  <c r="M42" i="5"/>
  <c r="M38" i="5"/>
  <c r="C21" i="6" s="1"/>
  <c r="M34" i="5"/>
  <c r="C11" i="6" s="1"/>
  <c r="M30" i="5"/>
  <c r="M26" i="5"/>
  <c r="C5" i="6" s="1"/>
  <c r="M22" i="5"/>
  <c r="M18" i="5"/>
  <c r="M15" i="5"/>
  <c r="M36" i="5"/>
  <c r="M33" i="5"/>
  <c r="C2" i="6" s="1"/>
  <c r="M29" i="5"/>
  <c r="M25" i="5"/>
  <c r="C10" i="6" s="1"/>
  <c r="M21" i="5"/>
  <c r="M17" i="5"/>
  <c r="M41" i="5"/>
  <c r="C18" i="6" s="1"/>
  <c r="M32" i="5"/>
  <c r="M28" i="5"/>
  <c r="M24" i="5"/>
  <c r="C16" i="6" s="1"/>
  <c r="M20" i="5"/>
  <c r="M16" i="5"/>
  <c r="M19" i="5"/>
  <c r="M14" i="5"/>
  <c r="M12" i="5"/>
  <c r="C6" i="6" s="1"/>
  <c r="M10" i="5"/>
  <c r="M8" i="5"/>
  <c r="M6" i="5"/>
  <c r="M4" i="5"/>
  <c r="M37" i="5"/>
  <c r="M31" i="5"/>
  <c r="C20" i="6" s="1"/>
  <c r="M23" i="5"/>
  <c r="C17" i="6" s="1"/>
  <c r="M13" i="5"/>
  <c r="M11" i="5"/>
  <c r="M9" i="5"/>
  <c r="M7" i="5"/>
  <c r="M5" i="5"/>
  <c r="M3" i="5"/>
  <c r="C22" i="6" s="1"/>
  <c r="M27" i="5"/>
  <c r="C7" i="6" s="1"/>
  <c r="M2" i="5"/>
  <c r="C15" i="6" s="1"/>
  <c r="N39" i="5"/>
  <c r="N42" i="5"/>
  <c r="N38" i="5"/>
  <c r="N41" i="5"/>
  <c r="D18" i="6" s="1"/>
  <c r="N37" i="5"/>
  <c r="N36" i="5"/>
  <c r="N34" i="5"/>
  <c r="N33" i="5"/>
  <c r="D2" i="6" s="1"/>
  <c r="N29" i="5"/>
  <c r="N25" i="5"/>
  <c r="D10" i="6" s="1"/>
  <c r="N21" i="5"/>
  <c r="N17" i="5"/>
  <c r="N40" i="5"/>
  <c r="D19" i="6" s="1"/>
  <c r="N32" i="5"/>
  <c r="N28" i="5"/>
  <c r="N24" i="5"/>
  <c r="D16" i="6" s="1"/>
  <c r="N20" i="5"/>
  <c r="N16" i="5"/>
  <c r="N14" i="5"/>
  <c r="N12" i="5"/>
  <c r="D6" i="6" s="1"/>
  <c r="N10" i="5"/>
  <c r="N8" i="5"/>
  <c r="N6" i="5"/>
  <c r="N4" i="5"/>
  <c r="D12" i="6" s="1"/>
  <c r="N35" i="5"/>
  <c r="N31" i="5"/>
  <c r="D20" i="6" s="1"/>
  <c r="N27" i="5"/>
  <c r="D7" i="6" s="1"/>
  <c r="N23" i="5"/>
  <c r="D17" i="6" s="1"/>
  <c r="N19" i="5"/>
  <c r="N22" i="5"/>
  <c r="N13" i="5"/>
  <c r="D8" i="6" s="1"/>
  <c r="N11" i="5"/>
  <c r="N9" i="5"/>
  <c r="N7" i="5"/>
  <c r="N5" i="5"/>
  <c r="N3" i="5"/>
  <c r="D22" i="6" s="1"/>
  <c r="N26" i="5"/>
  <c r="D5" i="6" s="1"/>
  <c r="N15" i="5"/>
  <c r="N2" i="5"/>
  <c r="D15" i="6" s="1"/>
  <c r="N30" i="5"/>
  <c r="N18" i="5"/>
  <c r="K3" i="7" l="1"/>
  <c r="L3" i="7" s="1"/>
  <c r="M3" i="7" s="1"/>
  <c r="N11" i="7"/>
  <c r="O11" i="7" s="1"/>
  <c r="N5" i="7"/>
  <c r="O5" i="7" s="1"/>
  <c r="D9" i="6"/>
  <c r="K9" i="7" s="1"/>
  <c r="L9" i="7" s="1"/>
  <c r="D3" i="6"/>
  <c r="D4" i="6"/>
  <c r="D11" i="6"/>
  <c r="D21" i="6"/>
  <c r="C3" i="6"/>
  <c r="C4" i="6"/>
  <c r="C13" i="6"/>
  <c r="E9" i="6"/>
  <c r="N9" i="7" s="1"/>
  <c r="O9" i="7" s="1"/>
  <c r="E13" i="6"/>
  <c r="G6" i="7"/>
  <c r="G12" i="7"/>
  <c r="G16" i="7"/>
  <c r="G20" i="7"/>
  <c r="K10" i="7"/>
  <c r="L10" i="7" s="1"/>
  <c r="M10" i="7" s="1"/>
  <c r="K5" i="7"/>
  <c r="L5" i="7" s="1"/>
  <c r="K8" i="7"/>
  <c r="L8" i="7" s="1"/>
  <c r="M8" i="7" s="1"/>
  <c r="K19" i="7"/>
  <c r="L19" i="7" s="1"/>
  <c r="K7" i="7"/>
  <c r="L7" i="7" s="1"/>
  <c r="M7" i="7" s="1"/>
  <c r="N12" i="7"/>
  <c r="O12" i="7" s="1"/>
  <c r="P12" i="7" s="1"/>
  <c r="N16" i="7"/>
  <c r="O16" i="7" s="1"/>
  <c r="N20" i="7"/>
  <c r="O20" i="7" s="1"/>
  <c r="C9" i="6"/>
  <c r="G2" i="7"/>
  <c r="G4" i="7"/>
  <c r="H5" i="7" s="1"/>
  <c r="I5" i="7" s="1"/>
  <c r="J5" i="7" s="1"/>
  <c r="G15" i="7"/>
  <c r="G19" i="7"/>
  <c r="K4" i="7"/>
  <c r="L4" i="7" s="1"/>
  <c r="K18" i="7"/>
  <c r="L18" i="7" s="1"/>
  <c r="M18" i="7" s="1"/>
  <c r="N4" i="7"/>
  <c r="O4" i="7" s="1"/>
  <c r="D14" i="6"/>
  <c r="K14" i="7" s="1"/>
  <c r="L14" i="7" s="1"/>
  <c r="M14" i="7" s="1"/>
  <c r="D13" i="6"/>
  <c r="K13" i="7" s="1"/>
  <c r="L13" i="7" s="1"/>
  <c r="C14" i="6"/>
  <c r="E21" i="6"/>
  <c r="G3" i="7"/>
  <c r="G9" i="7"/>
  <c r="G13" i="7"/>
  <c r="G17" i="7"/>
  <c r="G21" i="7"/>
  <c r="H21" i="7" s="1"/>
  <c r="I21" i="7" s="1"/>
  <c r="J21" i="7" s="1"/>
  <c r="K12" i="7"/>
  <c r="L12" i="7" s="1"/>
  <c r="M12" i="7" s="1"/>
  <c r="K2" i="7"/>
  <c r="K16" i="7"/>
  <c r="L16" i="7" s="1"/>
  <c r="K21" i="7"/>
  <c r="L21" i="7" s="1"/>
  <c r="N13" i="7"/>
  <c r="O13" i="7" s="1"/>
  <c r="N17" i="7"/>
  <c r="O17" i="7" s="1"/>
  <c r="N21" i="7"/>
  <c r="O21" i="7" s="1"/>
  <c r="N2" i="7"/>
  <c r="C8" i="6"/>
  <c r="G8" i="7" s="1"/>
  <c r="H8" i="7" s="1"/>
  <c r="I8" i="7" s="1"/>
  <c r="J8" i="7" s="1"/>
  <c r="C12" i="6"/>
  <c r="E8" i="6"/>
  <c r="N8" i="7" s="1"/>
  <c r="O8" i="7" s="1"/>
  <c r="P8" i="7" s="1"/>
  <c r="E14" i="6"/>
  <c r="E3" i="6"/>
  <c r="N3" i="7" s="1"/>
  <c r="O3" i="7" s="1"/>
  <c r="P3" i="7" s="1"/>
  <c r="G7" i="7"/>
  <c r="G10" i="7"/>
  <c r="G14" i="7"/>
  <c r="G18" i="7"/>
  <c r="G22" i="7"/>
  <c r="K15" i="7"/>
  <c r="L15" i="7" s="1"/>
  <c r="K6" i="7"/>
  <c r="L6" i="7" s="1"/>
  <c r="M6" i="7" s="1"/>
  <c r="K11" i="7"/>
  <c r="L11" i="7" s="1"/>
  <c r="K17" i="7"/>
  <c r="L17" i="7" s="1"/>
  <c r="K22" i="7"/>
  <c r="L22" i="7" s="1"/>
  <c r="N7" i="7"/>
  <c r="O7" i="7" s="1"/>
  <c r="P7" i="7" s="1"/>
  <c r="N10" i="7"/>
  <c r="O10" i="7" s="1"/>
  <c r="P10" i="7" s="1"/>
  <c r="N14" i="7"/>
  <c r="O14" i="7" s="1"/>
  <c r="P14" i="7" s="1"/>
  <c r="N18" i="7"/>
  <c r="O18" i="7" s="1"/>
  <c r="P18" i="7" s="1"/>
  <c r="N22" i="7"/>
  <c r="O22" i="7" s="1"/>
  <c r="N6" i="7"/>
  <c r="O6" i="7" s="1"/>
  <c r="P6" i="7" s="1"/>
  <c r="H3" i="7" l="1"/>
  <c r="I3" i="7" s="1"/>
  <c r="J3" i="7" s="1"/>
  <c r="H2" i="7"/>
  <c r="P16" i="7"/>
  <c r="H7" i="7"/>
  <c r="I7" i="7" s="1"/>
  <c r="J7" i="7" s="1"/>
  <c r="H12" i="7"/>
  <c r="I12" i="7" s="1"/>
  <c r="J12" i="7" s="1"/>
  <c r="P17" i="7"/>
  <c r="H14" i="7"/>
  <c r="I14" i="7" s="1"/>
  <c r="J14" i="7" s="1"/>
  <c r="P13" i="7"/>
  <c r="H17" i="7"/>
  <c r="I17" i="7" s="1"/>
  <c r="H19" i="7"/>
  <c r="I19" i="7" s="1"/>
  <c r="J19" i="7" s="1"/>
  <c r="H20" i="7"/>
  <c r="I20" i="7" s="1"/>
  <c r="H6" i="7"/>
  <c r="I6" i="7" s="1"/>
  <c r="J6" i="7" s="1"/>
  <c r="H22" i="7"/>
  <c r="I22" i="7" s="1"/>
  <c r="H9" i="7"/>
  <c r="I9" i="7" s="1"/>
  <c r="J9" i="7" s="1"/>
  <c r="H4" i="7"/>
  <c r="I4" i="7" s="1"/>
  <c r="H18" i="7"/>
  <c r="I18" i="7" s="1"/>
  <c r="J18" i="7" s="1"/>
  <c r="H10" i="7"/>
  <c r="I10" i="7" s="1"/>
  <c r="J10" i="7" s="1"/>
  <c r="O2" i="7"/>
  <c r="N24" i="7"/>
  <c r="P9" i="7" s="1"/>
  <c r="L2" i="7"/>
  <c r="M2" i="7" s="1"/>
  <c r="K24" i="7"/>
  <c r="M13" i="7" s="1"/>
  <c r="H13" i="7"/>
  <c r="I13" i="7" s="1"/>
  <c r="J13" i="7" s="1"/>
  <c r="P4" i="7"/>
  <c r="H15" i="7"/>
  <c r="I15" i="7" s="1"/>
  <c r="H16" i="7"/>
  <c r="I16" i="7" s="1"/>
  <c r="H11" i="7"/>
  <c r="I11" i="7" s="1"/>
  <c r="J11" i="7" s="1"/>
  <c r="M11" i="7" l="1"/>
  <c r="M17" i="7"/>
  <c r="I2" i="7"/>
  <c r="H24" i="7"/>
  <c r="J20" i="7" s="1"/>
  <c r="J15" i="7"/>
  <c r="J4" i="7"/>
  <c r="M21" i="7"/>
  <c r="P15" i="7"/>
  <c r="P19" i="7"/>
  <c r="M22" i="7"/>
  <c r="P11" i="7"/>
  <c r="P2" i="7"/>
  <c r="P21" i="7"/>
  <c r="P22" i="7"/>
  <c r="P5" i="7"/>
  <c r="M4" i="7"/>
  <c r="M15" i="7"/>
  <c r="J16" i="7"/>
  <c r="M20" i="7"/>
  <c r="M5" i="7"/>
  <c r="D8" i="2" s="1"/>
  <c r="D9" i="2" s="1"/>
  <c r="J22" i="7"/>
  <c r="J17" i="7"/>
  <c r="M16" i="7"/>
  <c r="P20" i="7"/>
  <c r="M19" i="7"/>
  <c r="M9" i="7"/>
  <c r="J2" i="7" l="1"/>
  <c r="B8" i="2" s="1"/>
  <c r="B9" i="2" s="1"/>
  <c r="F8" i="2"/>
  <c r="F9" i="2" s="1"/>
</calcChain>
</file>

<file path=xl/sharedStrings.xml><?xml version="1.0" encoding="utf-8"?>
<sst xmlns="http://schemas.openxmlformats.org/spreadsheetml/2006/main" count="348" uniqueCount="120">
  <si>
    <t>ENTE GIURIDICO</t>
  </si>
  <si>
    <t>CODICE FORNITORE</t>
  </si>
  <si>
    <t>TIPOLOGIA</t>
  </si>
  <si>
    <t>CAPACITA’</t>
  </si>
  <si>
    <t>COOPERATIVA SOCIALE CTR - COMUNICAZIONE TERRITORIO RELAZIONI – ONLUS (DECIMOMANNU)</t>
  </si>
  <si>
    <t>SRP1 adulti</t>
  </si>
  <si>
    <t>ASSOCIAZIONE CASA EMMAUS IMPRESA SOCIALE – ADULTI</t>
  </si>
  <si>
    <t>SRP2 adulti</t>
  </si>
  <si>
    <t>STUDIO FKT DOTT. S. MELE</t>
  </si>
  <si>
    <t>Autismo semiresidenziale</t>
  </si>
  <si>
    <t>VILLA SAN GIUSEPPE S.R.L.</t>
  </si>
  <si>
    <t>SRP3 adulti</t>
  </si>
  <si>
    <t>CENTRO PARACELSO S.R.L.</t>
  </si>
  <si>
    <t>DCA</t>
  </si>
  <si>
    <t>COOPERATIVA SOCIALE CTR - COMUNICAZIONE TERRITORIO RELAZIONI – ONLUS (MARACALAGONIS)</t>
  </si>
  <si>
    <t>BUDGET TOTALE</t>
  </si>
  <si>
    <t>NUOVI CONTRATTI</t>
  </si>
  <si>
    <t>RESIDUO DEL 10</t>
  </si>
  <si>
    <t>BUDGET DA DISTRIBUIRE</t>
  </si>
  <si>
    <t>BUDGET DISTRIBUITO</t>
  </si>
  <si>
    <t>RESIDUO</t>
  </si>
  <si>
    <t>CRITERI</t>
  </si>
  <si>
    <t>%</t>
  </si>
  <si>
    <t>BUDGET</t>
  </si>
  <si>
    <t>FATTURATO</t>
  </si>
  <si>
    <t>CAPACITA</t>
  </si>
  <si>
    <t>CAPILLARIZZAZIONE</t>
  </si>
  <si>
    <t>CHIAVE</t>
  </si>
  <si>
    <t>FATTURATO MEDIO</t>
  </si>
  <si>
    <t>BUDGET FATTURATO 2024</t>
  </si>
  <si>
    <t>BUDGET FATTURATO 2025</t>
  </si>
  <si>
    <t>BUDGET FATTURATO 2026</t>
  </si>
  <si>
    <t>PROMOZIONE SOCIETA' COOPERATIVA SOCIALE</t>
  </si>
  <si>
    <t>AINNANTI S.R.L.</t>
  </si>
  <si>
    <t>PROGETTO UOMO- COOPERATIVA SOCIALE DI SOLIDARIETA' ARL</t>
  </si>
  <si>
    <t>APPRODI SOCIETA' COOPERATIVA SOCIALE</t>
  </si>
  <si>
    <t>SONTSE - SOCIETA' COOPERATIVA SOCIALE</t>
  </si>
  <si>
    <t>CODESS SOCIALE SOCIETA' COOPERATIVA SOCIALE - ONLUS</t>
  </si>
  <si>
    <t>ANTES SOC. COOP. SOCIALE</t>
  </si>
  <si>
    <t>COOPERATIVA SOCIALE L'ARCA</t>
  </si>
  <si>
    <t xml:space="preserve">ISTITUTO MEDICO PEDAGOGICO OPERA GESU' NAZARENO </t>
  </si>
  <si>
    <t>CENTRO D'ASCOLTO MADONNA DEL ROSARIO</t>
  </si>
  <si>
    <t>A 18 FONDAZIONE PER L'AUTISMO</t>
  </si>
  <si>
    <t>COOPERATIVA SOCIALE CTR - COMUNICAZIONE TERRITORIO RELAZIONI - ONLUS</t>
  </si>
  <si>
    <t>ASSOCIAZIONE CASA EMMAUS IMPRESA SOCIALE – MINORI</t>
  </si>
  <si>
    <t>RESIDENZA TURCHESE S.R.L. - GRUPPO IPPOCRATE</t>
  </si>
  <si>
    <t>RESIDENZA SMERALDO S.R.L. - GRUPPO IPPOCRATE</t>
  </si>
  <si>
    <t>ASSOCIAZIONE CASA EMMAUS IMPRESA SOCIALE DCA</t>
  </si>
  <si>
    <t>CENTRO FISIOTERAPICO SB SRL</t>
  </si>
  <si>
    <t>CENTRO PARACELSO RIABILITAZIONE SRL - SESTU</t>
  </si>
  <si>
    <t>FONDAZIONE CENTRO SERVIZI ALLA PERSONA</t>
  </si>
  <si>
    <t>BUDGET CAPACITA’ 2024</t>
  </si>
  <si>
    <t>BUDGET CAPACITA’ 2025</t>
  </si>
  <si>
    <t>BUDGET CAPACITA’ 2026</t>
  </si>
  <si>
    <t>ASSL</t>
  </si>
  <si>
    <t>ENTE GIURIICO</t>
  </si>
  <si>
    <t>Nome Struttura</t>
  </si>
  <si>
    <t>livello contrattato</t>
  </si>
  <si>
    <t>INDICE ABITANTI</t>
  </si>
  <si>
    <t>STRUTTURE STESSO LIVELLO NELL'ASSL</t>
  </si>
  <si>
    <t>STRUTTURE STESSO LIVELLO SARDEGNA</t>
  </si>
  <si>
    <t>INDICE PRESENZA</t>
  </si>
  <si>
    <t>MEDIA INDICI</t>
  </si>
  <si>
    <t>% INDICI</t>
  </si>
  <si>
    <t>BUDGET CAPILLARIZZAZIONE 2024</t>
  </si>
  <si>
    <t>BUDGET CAPILLARIZZAZIONE 2025</t>
  </si>
  <si>
    <t>BUDGET CAPILLARIZZAZIONE 2026</t>
  </si>
  <si>
    <t>SULCIS</t>
  </si>
  <si>
    <t>LO SPECCHIO - Domusnovas</t>
  </si>
  <si>
    <t xml:space="preserve">
SRP2 minori</t>
  </si>
  <si>
    <t>Emmaus SRP3</t>
  </si>
  <si>
    <t>MEDIO CAMPIDANO</t>
  </si>
  <si>
    <t xml:space="preserve">COMUNITA' TERAPEUTICA SAN MICHELE  </t>
  </si>
  <si>
    <t>COMUNITA' BETANIA</t>
  </si>
  <si>
    <t>OGLIASTRA</t>
  </si>
  <si>
    <t>ANTES - In cima (Ussassai)</t>
  </si>
  <si>
    <t>ANTES - Ahora (Arzana)</t>
  </si>
  <si>
    <t xml:space="preserve">ANTES - STRUTTURA AHORA B - S.P. 23 ARZANA </t>
  </si>
  <si>
    <t>ANTES - ANDALA (Gairo)</t>
  </si>
  <si>
    <t>NUORO</t>
  </si>
  <si>
    <t xml:space="preserve">APPRODI </t>
  </si>
  <si>
    <t xml:space="preserve">CODESS SOCIALE 
</t>
  </si>
  <si>
    <t>CAGLIARI</t>
  </si>
  <si>
    <t>COOP. SOCIALE CTR ONLUS - Assemini</t>
  </si>
  <si>
    <t>ORISTANO</t>
  </si>
  <si>
    <t>COOP. SOCIALE CTR ONLUS - Santa Giusta SX</t>
  </si>
  <si>
    <t>COOP. SOCIALE CTR ONLUS - Santa Giusta DX</t>
  </si>
  <si>
    <t>COMUNITA' TERAPEUTICA INUS (Ainnanti)</t>
  </si>
  <si>
    <t>SRP1 minori</t>
  </si>
  <si>
    <t>COMUNITA' S'Enna (Ainnanti)</t>
  </si>
  <si>
    <t xml:space="preserve">Residenza Smeraldo </t>
  </si>
  <si>
    <t xml:space="preserve">Residenza Turchese </t>
  </si>
  <si>
    <t>COMUNITA' SANTA CATERINA - L'ARCA</t>
  </si>
  <si>
    <t xml:space="preserve">PROGETTO UOMO </t>
  </si>
  <si>
    <t xml:space="preserve">SONTSE  </t>
  </si>
  <si>
    <t>SASSARI</t>
  </si>
  <si>
    <t xml:space="preserve">Villa San Giuseppe - CASA SABINA </t>
  </si>
  <si>
    <t>PARACELSO RIABILITAZIONE</t>
  </si>
  <si>
    <t>CENTRO DIURNO</t>
  </si>
  <si>
    <t xml:space="preserve">OPERA GESU’ NAZARENO </t>
  </si>
  <si>
    <t xml:space="preserve">AUTISMO 
RESIDENZIALE 
 </t>
  </si>
  <si>
    <t xml:space="preserve">AUTISMO 
SEMIRESIDENZIALE </t>
  </si>
  <si>
    <t xml:space="preserve">A18 ONLUS </t>
  </si>
  <si>
    <t>CENTRO SERVIZI ALLA PERSONA</t>
  </si>
  <si>
    <t>CENTRO FISIOTERAPICO S.B. SRL</t>
  </si>
  <si>
    <t>LO SPECCHIO</t>
  </si>
  <si>
    <t xml:space="preserve">Disturbi comportamento alimentare - SEMIRESIDENZIALE </t>
  </si>
  <si>
    <t xml:space="preserve">Disturbi comportamento alimentare - RESIDENZIALE </t>
  </si>
  <si>
    <t>TIPOLOGIA ASSISTENZIALE</t>
  </si>
  <si>
    <t>BUDGET 2024 (18,5 mln)</t>
  </si>
  <si>
    <t>BUDGET 2024 (2,5 mln)</t>
  </si>
  <si>
    <t>BUDGET TOTALE 2024</t>
  </si>
  <si>
    <t>BUDGET 2025
1 dist</t>
  </si>
  <si>
    <t>BUDGET TOTALE 2025</t>
  </si>
  <si>
    <t>BUDGET 2026
1 dist</t>
  </si>
  <si>
    <t>BUDGET TOTALE 2026</t>
  </si>
  <si>
    <t>MINORI</t>
  </si>
  <si>
    <t>ADULTI</t>
  </si>
  <si>
    <t>AUTISMO</t>
  </si>
  <si>
    <t>RESIDUO DA RIDISTRIBUIRE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</si>
</sst>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&quot; €&quot;_-;\-* #,##0.00&quot; €&quot;_-;_-* \-??&quot; €&quot;_-;_-@_-"/>
    <numFmt numFmtId="165" formatCode="_-* #,##0.00_-;\-* #,##0.00_-;_-* \-??_-;_-@_-"/>
    <numFmt numFmtId="166" formatCode="0.0%"/>
    <numFmt numFmtId="167" formatCode="_-* #,##0.00\ _€_-;\-* #,##0.00\ _€_-;_-* \-??\ _€_-;_-@_-"/>
    <numFmt numFmtId="168" formatCode="_-* #,##0_-;\-* #,##0_-;_-* \-??_-;_-@_-"/>
  </numFmts>
  <fonts count="8" x14ac:knownFonts="1"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b/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14"/>
      <color rgb="FF000000"/>
      <name val="Arial"/>
      <family val="2"/>
      <charset val="1"/>
    </font>
    <font>
      <sz val="12"/>
      <name val="Arial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5429"/>
        <bgColor rgb="FFFF8080"/>
      </patternFill>
    </fill>
    <fill>
      <patternFill patternType="solid">
        <fgColor theme="6" tint="0.79989013336588644"/>
        <bgColor rgb="FFFFFFCC"/>
      </patternFill>
    </fill>
    <fill>
      <patternFill patternType="solid">
        <fgColor rgb="FF4CAF50"/>
        <bgColor rgb="FF33CC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165" fontId="7" fillId="0" borderId="0" applyBorder="0" applyProtection="0"/>
    <xf numFmtId="9" fontId="7" fillId="0" borderId="0" applyBorder="0" applyProtection="0"/>
    <xf numFmtId="0" fontId="1" fillId="0" borderId="0" applyBorder="0" applyProtection="0">
      <alignment horizontal="left"/>
    </xf>
    <xf numFmtId="0" fontId="2" fillId="0" borderId="0"/>
    <xf numFmtId="0" fontId="7" fillId="2" borderId="0" applyProtection="0"/>
    <xf numFmtId="164" fontId="7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4" fontId="3" fillId="0" borderId="1" xfId="0" applyNumberFormat="1" applyFont="1" applyBorder="1" applyAlignment="1" applyProtection="1"/>
    <xf numFmtId="0" fontId="3" fillId="0" borderId="1" xfId="0" applyFont="1" applyBorder="1" applyAlignment="1" applyProtection="1">
      <alignment horizontal="left"/>
    </xf>
    <xf numFmtId="4" fontId="4" fillId="0" borderId="1" xfId="0" applyNumberFormat="1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/>
    <xf numFmtId="4" fontId="0" fillId="0" borderId="1" xfId="0" applyNumberFormat="1" applyBorder="1" applyAlignment="1" applyProtection="1"/>
    <xf numFmtId="0" fontId="3" fillId="0" borderId="1" xfId="0" applyFont="1" applyBorder="1" applyAlignment="1" applyProtection="1"/>
    <xf numFmtId="0" fontId="3" fillId="0" borderId="0" xfId="0" applyFont="1" applyAlignment="1" applyProtection="1"/>
    <xf numFmtId="9" fontId="3" fillId="0" borderId="1" xfId="0" applyNumberFormat="1" applyFont="1" applyBorder="1" applyAlignment="1" applyProtection="1"/>
    <xf numFmtId="9" fontId="3" fillId="0" borderId="1" xfId="2" applyFont="1" applyBorder="1" applyAlignment="1" applyProtection="1"/>
    <xf numFmtId="165" fontId="0" fillId="0" borderId="1" xfId="1" applyFont="1" applyBorder="1" applyAlignment="1" applyProtection="1"/>
    <xf numFmtId="10" fontId="0" fillId="0" borderId="0" xfId="2" applyNumberFormat="1" applyFont="1" applyBorder="1" applyAlignment="1" applyProtection="1"/>
    <xf numFmtId="10" fontId="0" fillId="0" borderId="0" xfId="0" applyNumberFormat="1" applyAlignment="1" applyProtection="1"/>
    <xf numFmtId="165" fontId="0" fillId="0" borderId="1" xfId="1" applyFont="1" applyBorder="1" applyAlignment="1" applyProtection="1">
      <alignment vertical="center"/>
    </xf>
    <xf numFmtId="165" fontId="3" fillId="0" borderId="1" xfId="1" applyFont="1" applyBorder="1" applyAlignment="1" applyProtection="1">
      <alignment vertical="center"/>
    </xf>
    <xf numFmtId="166" fontId="0" fillId="0" borderId="1" xfId="2" applyNumberFormat="1" applyFont="1" applyBorder="1" applyAlignment="1" applyProtection="1"/>
    <xf numFmtId="167" fontId="0" fillId="0" borderId="1" xfId="0" applyNumberFormat="1" applyBorder="1" applyAlignment="1" applyProtection="1"/>
    <xf numFmtId="0" fontId="5" fillId="3" borderId="1" xfId="0" applyFont="1" applyFill="1" applyBorder="1" applyAlignment="1" applyProtection="1">
      <alignment horizontal="center" vertical="center" wrapText="1"/>
    </xf>
    <xf numFmtId="165" fontId="6" fillId="0" borderId="1" xfId="1" applyFont="1" applyBorder="1" applyAlignment="1" applyProtection="1">
      <alignment horizontal="center" vertical="center" wrapText="1"/>
    </xf>
    <xf numFmtId="10" fontId="6" fillId="0" borderId="1" xfId="2" applyNumberFormat="1" applyFont="1" applyBorder="1" applyAlignment="1" applyProtection="1">
      <alignment horizontal="center" vertical="center" wrapText="1"/>
    </xf>
    <xf numFmtId="167" fontId="0" fillId="0" borderId="0" xfId="0" applyNumberFormat="1" applyAlignment="1" applyProtection="1"/>
    <xf numFmtId="4" fontId="6" fillId="0" borderId="1" xfId="1" applyNumberFormat="1" applyFont="1" applyBorder="1" applyAlignment="1" applyProtection="1">
      <alignment horizontal="center" vertical="center" wrapText="1"/>
    </xf>
    <xf numFmtId="0" fontId="0" fillId="0" borderId="0" xfId="0" applyFont="1" applyAlignment="1" applyProtection="1"/>
    <xf numFmtId="0" fontId="5" fillId="3" borderId="2" xfId="0" applyFont="1" applyFill="1" applyBorder="1" applyAlignment="1" applyProtection="1">
      <alignment horizontal="center" vertical="center" wrapText="1"/>
    </xf>
    <xf numFmtId="165" fontId="0" fillId="0" borderId="0" xfId="1" applyFont="1" applyBorder="1" applyAlignment="1" applyProtection="1"/>
    <xf numFmtId="165" fontId="0" fillId="0" borderId="1" xfId="1" applyFont="1" applyBorder="1" applyAlignment="1" applyProtection="1">
      <alignment wrapText="1"/>
    </xf>
    <xf numFmtId="168" fontId="0" fillId="0" borderId="1" xfId="1" applyNumberFormat="1" applyFont="1" applyBorder="1" applyAlignment="1" applyProtection="1"/>
    <xf numFmtId="10" fontId="0" fillId="0" borderId="1" xfId="2" applyNumberFormat="1" applyFont="1" applyBorder="1" applyAlignment="1" applyProtection="1"/>
    <xf numFmtId="0" fontId="5" fillId="4" borderId="1" xfId="0" applyFont="1" applyFill="1" applyBorder="1" applyAlignment="1" applyProtection="1">
      <alignment horizontal="center" vertical="center" wrapText="1"/>
    </xf>
    <xf numFmtId="4" fontId="0" fillId="0" borderId="0" xfId="0" applyNumberFormat="1" applyAlignment="1" applyProtection="1"/>
    <xf numFmtId="165" fontId="0" fillId="0" borderId="0" xfId="0" applyNumberFormat="1" applyAlignment="1" applyProtection="1"/>
    <xf numFmtId="3" fontId="6" fillId="0" borderId="1" xfId="1" applyNumberFormat="1" applyFont="1" applyBorder="1" applyAlignment="1" applyProtection="1">
      <alignment horizontal="center" vertical="center" wrapText="1"/>
    </xf>
    <xf numFmtId="168" fontId="6" fillId="0" borderId="1" xfId="1" applyNumberFormat="1" applyFont="1" applyBorder="1" applyAlignment="1" applyProtection="1">
      <alignment horizontal="center" vertical="center" wrapText="1"/>
    </xf>
    <xf numFmtId="3" fontId="0" fillId="0" borderId="1" xfId="0" applyNumberFormat="1" applyBorder="1" applyAlignment="1" applyProtection="1">
      <alignment horizontal="right"/>
    </xf>
    <xf numFmtId="3" fontId="0" fillId="0" borderId="1" xfId="0" applyNumberFormat="1" applyBorder="1" applyAlignment="1" applyProtection="1"/>
    <xf numFmtId="3" fontId="0" fillId="0" borderId="1" xfId="0" applyNumberFormat="1" applyFont="1" applyBorder="1" applyAlignment="1" applyProtection="1">
      <alignment horizontal="right"/>
    </xf>
    <xf numFmtId="0" fontId="0" fillId="0" borderId="1" xfId="0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9" fontId="0" fillId="0" borderId="1" xfId="2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</cellXfs>
  <cellStyles count="7">
    <cellStyle name="Categoria tabella pivot" xfId="3"/>
    <cellStyle name="Migliaia" xfId="1" builtinId="3"/>
    <cellStyle name="Normale" xfId="0" builtinId="0"/>
    <cellStyle name="Normale 2" xfId="4"/>
    <cellStyle name="Percentuale" xfId="2" builtinId="5"/>
    <cellStyle name="Senza nome1" xfId="5"/>
    <cellStyle name="Valuta 2" xfId="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ED4BB"/>
      <rgbColor rgb="FF3366FF"/>
      <rgbColor rgb="FF33CCCC"/>
      <rgbColor rgb="FF99CC00"/>
      <rgbColor rgb="FFFFCC00"/>
      <rgbColor rgb="FFFF9900"/>
      <rgbColor rgb="FFFF5429"/>
      <rgbColor rgb="FF666699"/>
      <rgbColor rgb="FF969696"/>
      <rgbColor rgb="FF003366"/>
      <rgbColor rgb="FF4CAF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zoomScale="85" zoomScaleNormal="85" workbookViewId="0">
      <selection activeCell="F11" sqref="F11"/>
    </sheetView>
  </sheetViews>
  <sheetFormatPr defaultColWidth="10.5" defaultRowHeight="15.75" x14ac:dyDescent="0.25"/>
  <cols>
    <col min="1" max="1" width="44.625" style="1" customWidth="1"/>
    <col min="2" max="3" width="22.625" style="1" customWidth="1"/>
    <col min="4" max="4" width="10.875" style="1" customWidth="1"/>
    <col min="6" max="6" width="13" style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3">
        <v>2024</v>
      </c>
      <c r="F1" s="3">
        <v>2025</v>
      </c>
      <c r="G1" s="3">
        <v>2026</v>
      </c>
    </row>
    <row r="2" spans="1:7" ht="45" customHeight="1" x14ac:dyDescent="0.25">
      <c r="A2" s="4" t="s">
        <v>4</v>
      </c>
      <c r="B2" s="5">
        <v>12485</v>
      </c>
      <c r="C2" s="6" t="s">
        <v>5</v>
      </c>
      <c r="D2" s="35">
        <v>429240</v>
      </c>
      <c r="E2" s="36">
        <f>D2*0.4*4/12</f>
        <v>57232</v>
      </c>
      <c r="F2" s="36">
        <f>D2*0.45</f>
        <v>193158</v>
      </c>
      <c r="G2" s="36">
        <f>D2*0.5</f>
        <v>214620</v>
      </c>
    </row>
    <row r="3" spans="1:7" ht="46.5" customHeight="1" x14ac:dyDescent="0.25">
      <c r="A3" s="4" t="s">
        <v>6</v>
      </c>
      <c r="B3" s="5">
        <v>1684369</v>
      </c>
      <c r="C3" s="6" t="s">
        <v>7</v>
      </c>
      <c r="D3" s="37">
        <v>456250</v>
      </c>
      <c r="E3" s="36">
        <f>D3*0.4*4/12</f>
        <v>60833.333333333336</v>
      </c>
      <c r="F3" s="36">
        <f>D3*0.45</f>
        <v>205312.5</v>
      </c>
      <c r="G3" s="36">
        <f>D3*0.5</f>
        <v>228125</v>
      </c>
    </row>
    <row r="4" spans="1:7" ht="26.25" customHeight="1" x14ac:dyDescent="0.25">
      <c r="A4" s="6" t="s">
        <v>8</v>
      </c>
      <c r="B4" s="5">
        <v>740903</v>
      </c>
      <c r="C4" s="6" t="s">
        <v>9</v>
      </c>
      <c r="D4" s="35">
        <v>769600</v>
      </c>
      <c r="E4" s="36">
        <f>D4*0.4*4/12</f>
        <v>102613.33333333333</v>
      </c>
      <c r="F4" s="36">
        <f>D4*0.45</f>
        <v>346320</v>
      </c>
      <c r="G4" s="36">
        <f>D4*0.5</f>
        <v>384800</v>
      </c>
    </row>
    <row r="5" spans="1:7" ht="20.25" customHeight="1" x14ac:dyDescent="0.25">
      <c r="A5" s="4" t="s">
        <v>10</v>
      </c>
      <c r="B5" s="5">
        <v>951892</v>
      </c>
      <c r="C5" s="6" t="s">
        <v>11</v>
      </c>
      <c r="D5" s="35">
        <v>175200</v>
      </c>
      <c r="E5" s="36">
        <f>D5*0.4*4/12</f>
        <v>23360</v>
      </c>
      <c r="F5" s="36">
        <f>D5*0.45</f>
        <v>78840</v>
      </c>
      <c r="G5" s="36">
        <f>D5*0.5</f>
        <v>87600</v>
      </c>
    </row>
    <row r="6" spans="1:7" ht="26.25" customHeight="1" x14ac:dyDescent="0.25">
      <c r="A6" s="6" t="s">
        <v>12</v>
      </c>
      <c r="B6" s="5">
        <v>1533182</v>
      </c>
      <c r="C6" s="6" t="s">
        <v>13</v>
      </c>
      <c r="D6" s="35">
        <v>423765</v>
      </c>
      <c r="E6" s="36"/>
      <c r="F6" s="36">
        <f>D6*0.45</f>
        <v>190694.25</v>
      </c>
      <c r="G6" s="36">
        <f>D6*0.5</f>
        <v>211882.5</v>
      </c>
    </row>
    <row r="7" spans="1:7" ht="47.25" x14ac:dyDescent="0.25">
      <c r="A7" s="4" t="s">
        <v>14</v>
      </c>
      <c r="B7" s="5">
        <v>12485</v>
      </c>
      <c r="C7" s="6" t="s">
        <v>5</v>
      </c>
      <c r="D7" s="35">
        <v>429240</v>
      </c>
      <c r="E7" s="36"/>
      <c r="F7" s="36">
        <f>(D7*0.45)/12*8.5</f>
        <v>136820.25</v>
      </c>
      <c r="G7" s="36">
        <f>(D7*0.5)</f>
        <v>214620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Roman,Normale"&amp;Kffffff&amp;A</oddHeader>
    <oddFooter>&amp;C&amp;"Times New Roman,Normale"&amp;KffffffPagina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6"/>
  <sheetViews>
    <sheetView zoomScale="85" zoomScaleNormal="85" workbookViewId="0">
      <selection activeCell="D24" sqref="D24"/>
    </sheetView>
  </sheetViews>
  <sheetFormatPr defaultColWidth="8.625" defaultRowHeight="15.75" x14ac:dyDescent="0.25"/>
  <cols>
    <col min="1" max="1" width="23.375" style="1" customWidth="1"/>
    <col min="2" max="2" width="14.25" style="1" customWidth="1"/>
    <col min="3" max="3" width="6.125" style="1" customWidth="1"/>
    <col min="4" max="4" width="19.25" style="1" customWidth="1"/>
    <col min="5" max="5" width="6.5" style="1" customWidth="1"/>
    <col min="6" max="6" width="16.375" style="1" customWidth="1"/>
    <col min="7" max="7" width="6.5" style="1" customWidth="1"/>
    <col min="8" max="8" width="16.375" style="1" customWidth="1"/>
    <col min="9" max="9" width="10.75" style="1" customWidth="1"/>
    <col min="10" max="10" width="14.5" style="1" customWidth="1"/>
    <col min="16384" max="16384" width="10.5" style="1" customWidth="1"/>
  </cols>
  <sheetData>
    <row r="1" spans="1:8" x14ac:dyDescent="0.25">
      <c r="B1" s="8">
        <v>2024</v>
      </c>
      <c r="C1" s="9"/>
      <c r="D1" s="8">
        <v>2025</v>
      </c>
      <c r="E1" s="9"/>
      <c r="F1" s="8">
        <v>2026</v>
      </c>
    </row>
    <row r="2" spans="1:8" x14ac:dyDescent="0.25">
      <c r="A2" s="8" t="s">
        <v>15</v>
      </c>
      <c r="B2" s="2">
        <v>18500000</v>
      </c>
      <c r="D2" s="2">
        <v>21000000</v>
      </c>
      <c r="F2" s="2">
        <v>21000000</v>
      </c>
    </row>
    <row r="3" spans="1:8" x14ac:dyDescent="0.25">
      <c r="A3" s="10">
        <v>0.9</v>
      </c>
      <c r="B3" s="2">
        <f>B$2*$A3</f>
        <v>16650000</v>
      </c>
      <c r="D3" s="2">
        <f>D$2*$A3</f>
        <v>18900000</v>
      </c>
      <c r="F3" s="2">
        <f>F$2*$A3</f>
        <v>18900000</v>
      </c>
    </row>
    <row r="4" spans="1:8" x14ac:dyDescent="0.25">
      <c r="A4" s="11">
        <v>0.1</v>
      </c>
      <c r="B4" s="2">
        <f>B$2*$A4</f>
        <v>1850000</v>
      </c>
      <c r="D4" s="2">
        <f>D$2*$A4</f>
        <v>2100000</v>
      </c>
      <c r="F4" s="2">
        <f>F$2*$A4</f>
        <v>2100000</v>
      </c>
    </row>
    <row r="5" spans="1:8" x14ac:dyDescent="0.25">
      <c r="A5" s="8" t="s">
        <v>16</v>
      </c>
      <c r="B5" s="12">
        <f>SUM(NUOVI!E2:E7)</f>
        <v>244038.66666666669</v>
      </c>
      <c r="C5" s="13"/>
      <c r="D5" s="7">
        <f>SUM(NUOVI!F2:F7)</f>
        <v>1151145</v>
      </c>
      <c r="F5" s="7">
        <f>SUM(NUOVI!G2:G7)</f>
        <v>1341647.5</v>
      </c>
    </row>
    <row r="6" spans="1:8" x14ac:dyDescent="0.25">
      <c r="A6" s="8" t="s">
        <v>17</v>
      </c>
      <c r="B6" s="7">
        <f>B4-B5</f>
        <v>1605961.3333333333</v>
      </c>
      <c r="C6" s="13"/>
      <c r="D6" s="7">
        <f>D4-D5</f>
        <v>948855</v>
      </c>
      <c r="F6" s="7">
        <f>F4-F5</f>
        <v>758352.5</v>
      </c>
      <c r="H6" s="14"/>
    </row>
    <row r="7" spans="1:8" x14ac:dyDescent="0.25">
      <c r="A7" s="8" t="s">
        <v>18</v>
      </c>
      <c r="B7" s="12">
        <f>B3+B6</f>
        <v>18255961.333333332</v>
      </c>
      <c r="D7" s="7">
        <f>D3+D6</f>
        <v>19848855</v>
      </c>
      <c r="F7" s="7">
        <f>F3+F6</f>
        <v>19658352.5</v>
      </c>
    </row>
    <row r="8" spans="1:8" x14ac:dyDescent="0.25">
      <c r="A8" s="8" t="s">
        <v>19</v>
      </c>
      <c r="B8" s="15">
        <f>SUM('04 - TOTALE'!J2:J22)-2500000</f>
        <v>17638375.963202219</v>
      </c>
      <c r="D8" s="7">
        <f>SUM('04 - TOTALE'!M2:M22)</f>
        <v>19569848.793373507</v>
      </c>
      <c r="F8" s="7">
        <f>SUM('04 - TOTALE'!P2:P22)</f>
        <v>19474448.452587496</v>
      </c>
    </row>
    <row r="9" spans="1:8" x14ac:dyDescent="0.25">
      <c r="A9" s="8" t="s">
        <v>20</v>
      </c>
      <c r="B9" s="16">
        <f>B7-B8</f>
        <v>617585.37013111264</v>
      </c>
      <c r="C9" s="9"/>
      <c r="D9" s="16">
        <f>D7-D8</f>
        <v>279006.20662649348</v>
      </c>
      <c r="E9" s="9"/>
      <c r="F9" s="16">
        <f>F7-F8</f>
        <v>183904.04741250351</v>
      </c>
    </row>
    <row r="12" spans="1:8" x14ac:dyDescent="0.25">
      <c r="A12" s="41"/>
      <c r="B12" s="41"/>
      <c r="C12" s="38">
        <v>2024</v>
      </c>
      <c r="D12" s="38"/>
      <c r="E12" s="38">
        <v>2025</v>
      </c>
      <c r="F12" s="38"/>
      <c r="G12" s="38">
        <v>2026</v>
      </c>
      <c r="H12" s="38"/>
    </row>
    <row r="13" spans="1:8" x14ac:dyDescent="0.25">
      <c r="A13" s="39" t="s">
        <v>21</v>
      </c>
      <c r="B13" s="39"/>
      <c r="C13" s="8" t="s">
        <v>22</v>
      </c>
      <c r="D13" s="8" t="s">
        <v>23</v>
      </c>
      <c r="E13" s="8" t="s">
        <v>22</v>
      </c>
      <c r="F13" s="8" t="s">
        <v>23</v>
      </c>
      <c r="G13" s="8" t="s">
        <v>22</v>
      </c>
      <c r="H13" s="8" t="s">
        <v>23</v>
      </c>
    </row>
    <row r="14" spans="1:8" x14ac:dyDescent="0.25">
      <c r="A14" s="40" t="s">
        <v>24</v>
      </c>
      <c r="B14" s="40"/>
      <c r="C14" s="17">
        <v>0.7</v>
      </c>
      <c r="D14" s="18">
        <f>B$7*C14</f>
        <v>12779172.933333332</v>
      </c>
      <c r="E14" s="17">
        <f>C14-0.025</f>
        <v>0.67499999999999993</v>
      </c>
      <c r="F14" s="18">
        <f>D$7*E14</f>
        <v>13397977.124999998</v>
      </c>
      <c r="G14" s="17">
        <f>E14-0.025</f>
        <v>0.64999999999999991</v>
      </c>
      <c r="H14" s="18">
        <f>F$7*G14</f>
        <v>12777929.124999998</v>
      </c>
    </row>
    <row r="15" spans="1:8" x14ac:dyDescent="0.25">
      <c r="A15" s="40" t="s">
        <v>25</v>
      </c>
      <c r="B15" s="40"/>
      <c r="C15" s="17">
        <v>0.25</v>
      </c>
      <c r="D15" s="18">
        <f>B$7*C15</f>
        <v>4563990.333333333</v>
      </c>
      <c r="E15" s="17">
        <f>C15</f>
        <v>0.25</v>
      </c>
      <c r="F15" s="18">
        <f>D$7*E15</f>
        <v>4962213.75</v>
      </c>
      <c r="G15" s="17">
        <f>E15</f>
        <v>0.25</v>
      </c>
      <c r="H15" s="18">
        <f>F$7*G15</f>
        <v>4914588.125</v>
      </c>
    </row>
    <row r="16" spans="1:8" x14ac:dyDescent="0.25">
      <c r="A16" s="40" t="s">
        <v>26</v>
      </c>
      <c r="B16" s="40"/>
      <c r="C16" s="17">
        <v>0.05</v>
      </c>
      <c r="D16" s="18">
        <f>B$7*C16</f>
        <v>912798.06666666665</v>
      </c>
      <c r="E16" s="17">
        <f>C16+0.025</f>
        <v>7.5000000000000011E-2</v>
      </c>
      <c r="F16" s="18">
        <f>D$7*E16</f>
        <v>1488664.1250000002</v>
      </c>
      <c r="G16" s="17">
        <f>E16+0.025</f>
        <v>0.1</v>
      </c>
      <c r="H16" s="18">
        <f>F$7*G16</f>
        <v>1965835.25</v>
      </c>
    </row>
  </sheetData>
  <mergeCells count="8">
    <mergeCell ref="A16:B16"/>
    <mergeCell ref="A12:B12"/>
    <mergeCell ref="C12:D12"/>
    <mergeCell ref="E12:F12"/>
    <mergeCell ref="G12:H12"/>
    <mergeCell ref="A13:B13"/>
    <mergeCell ref="A14:B14"/>
    <mergeCell ref="A15:B1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22"/>
  <sheetViews>
    <sheetView topLeftCell="B4" zoomScale="85" zoomScaleNormal="85" workbookViewId="0">
      <selection activeCell="B22" sqref="B22"/>
    </sheetView>
  </sheetViews>
  <sheetFormatPr defaultColWidth="8.625" defaultRowHeight="15.75" x14ac:dyDescent="0.25"/>
  <cols>
    <col min="1" max="1" width="9.125" style="1" hidden="1" customWidth="1"/>
    <col min="2" max="2" width="43.375" style="1" customWidth="1"/>
    <col min="3" max="3" width="30.375" style="1" customWidth="1"/>
    <col min="5" max="5" width="18.5" style="1" customWidth="1"/>
    <col min="6" max="6" width="18" style="1" customWidth="1"/>
    <col min="7" max="7" width="18.125" style="1" customWidth="1"/>
    <col min="16382" max="16384" width="10.5" style="1" customWidth="1"/>
  </cols>
  <sheetData>
    <row r="1" spans="1:7" ht="54" x14ac:dyDescent="0.25">
      <c r="A1" s="1" t="s">
        <v>27</v>
      </c>
      <c r="B1" s="19" t="s">
        <v>0</v>
      </c>
      <c r="C1" s="19" t="s">
        <v>28</v>
      </c>
      <c r="D1" s="19" t="s">
        <v>22</v>
      </c>
      <c r="E1" s="19" t="s">
        <v>29</v>
      </c>
      <c r="F1" s="19" t="s">
        <v>30</v>
      </c>
      <c r="G1" s="19" t="s">
        <v>31</v>
      </c>
    </row>
    <row r="2" spans="1:7" x14ac:dyDescent="0.25">
      <c r="A2" s="1" t="e">
        <f>CONCATENATE(B2,#REF!)</f>
        <v>#REF!</v>
      </c>
      <c r="B2" s="4" t="s">
        <v>32</v>
      </c>
      <c r="C2" s="20">
        <v>722383.70799999998</v>
      </c>
      <c r="D2" s="21">
        <f t="shared" ref="D2:D22" si="0">C2/SUM(C$2:C$25)</f>
        <v>4.9613508368426283E-2</v>
      </c>
      <c r="E2" s="20">
        <f>'00-BUDGET'!D$14*D2</f>
        <v>634019.60326949996</v>
      </c>
      <c r="F2" s="20">
        <f>'00-BUDGET'!F$14*D2</f>
        <v>664720.65021117136</v>
      </c>
      <c r="G2" s="20">
        <f>'00-BUDGET'!H$14*D2</f>
        <v>633957.89357434539</v>
      </c>
    </row>
    <row r="3" spans="1:7" x14ac:dyDescent="0.25">
      <c r="A3" s="1" t="e">
        <f>CONCATENATE(B3,#REF!)</f>
        <v>#REF!</v>
      </c>
      <c r="B3" s="4" t="s">
        <v>10</v>
      </c>
      <c r="C3" s="20">
        <v>800637.625</v>
      </c>
      <c r="D3" s="21">
        <f t="shared" si="0"/>
        <v>5.4988008544642378E-2</v>
      </c>
      <c r="E3" s="20">
        <f>'00-BUDGET'!D$14*D3</f>
        <v>702701.27045159589</v>
      </c>
      <c r="F3" s="20">
        <f>'00-BUDGET'!F$14*D3</f>
        <v>736728.08063042304</v>
      </c>
      <c r="G3" s="20">
        <f>'00-BUDGET'!H$14*D3</f>
        <v>702632.87590833462</v>
      </c>
    </row>
    <row r="4" spans="1:7" x14ac:dyDescent="0.25">
      <c r="A4" s="1" t="e">
        <f>CONCATENATE(B4,#REF!)</f>
        <v>#REF!</v>
      </c>
      <c r="B4" s="4" t="s">
        <v>33</v>
      </c>
      <c r="C4" s="20">
        <v>1154353.32</v>
      </c>
      <c r="D4" s="21">
        <f t="shared" si="0"/>
        <v>7.9281298107488143E-2</v>
      </c>
      <c r="E4" s="20">
        <f>'00-BUDGET'!D$14*D4</f>
        <v>1013149.4188947435</v>
      </c>
      <c r="F4" s="20">
        <f>'00-BUDGET'!F$14*D4</f>
        <v>1062209.0184844318</v>
      </c>
      <c r="G4" s="20">
        <f>'00-BUDGET'!H$14*D4</f>
        <v>1013050.80815548</v>
      </c>
    </row>
    <row r="5" spans="1:7" ht="26.85" customHeight="1" x14ac:dyDescent="0.25">
      <c r="A5" s="1" t="e">
        <f>CONCATENATE(B5,#REF!)</f>
        <v>#REF!</v>
      </c>
      <c r="B5" s="4" t="s">
        <v>34</v>
      </c>
      <c r="C5" s="20">
        <v>267576.40000000002</v>
      </c>
      <c r="D5" s="21">
        <f t="shared" si="0"/>
        <v>1.8377219493706215E-2</v>
      </c>
      <c r="E5" s="20">
        <f>'00-BUDGET'!D$14*D5</f>
        <v>234845.66594389614</v>
      </c>
      <c r="F5" s="20">
        <f>'00-BUDGET'!F$14*D5</f>
        <v>246217.56639777991</v>
      </c>
      <c r="G5" s="20">
        <f>'00-BUDGET'!H$14*D5</f>
        <v>234822.80820514637</v>
      </c>
    </row>
    <row r="6" spans="1:7" x14ac:dyDescent="0.25">
      <c r="A6" s="1" t="e">
        <f>CONCATENATE(B6,#REF!)</f>
        <v>#REF!</v>
      </c>
      <c r="B6" s="4" t="s">
        <v>35</v>
      </c>
      <c r="C6" s="20">
        <v>337872.43099999998</v>
      </c>
      <c r="D6" s="21">
        <f t="shared" si="0"/>
        <v>2.3205169907955663E-2</v>
      </c>
      <c r="E6" s="20">
        <f>'00-BUDGET'!D$14*D6</f>
        <v>296542.87920114811</v>
      </c>
      <c r="F6" s="20">
        <f>'00-BUDGET'!F$14*D6</f>
        <v>310902.33560852829</v>
      </c>
      <c r="G6" s="20">
        <f>'00-BUDGET'!H$14*D6</f>
        <v>296514.0164174402</v>
      </c>
    </row>
    <row r="7" spans="1:7" x14ac:dyDescent="0.25">
      <c r="A7" s="1" t="e">
        <f>CONCATENATE(B7,#REF!)</f>
        <v>#REF!</v>
      </c>
      <c r="B7" s="4" t="s">
        <v>36</v>
      </c>
      <c r="C7" s="20">
        <v>419639.73499999999</v>
      </c>
      <c r="D7" s="21">
        <f t="shared" si="0"/>
        <v>2.8820970453207796E-2</v>
      </c>
      <c r="E7" s="20">
        <f>'00-BUDGET'!D$14*D7</f>
        <v>368308.16552803275</v>
      </c>
      <c r="F7" s="20">
        <f>'00-BUDGET'!F$14*D7</f>
        <v>386142.70285237889</v>
      </c>
      <c r="G7" s="20">
        <f>'00-BUDGET'!H$14*D7</f>
        <v>368272.31776480831</v>
      </c>
    </row>
    <row r="8" spans="1:7" ht="31.5" x14ac:dyDescent="0.25">
      <c r="A8" s="1" t="e">
        <f>CONCATENATE(B8,#REF!)</f>
        <v>#REF!</v>
      </c>
      <c r="B8" s="4" t="s">
        <v>37</v>
      </c>
      <c r="C8" s="20">
        <v>1099354.595</v>
      </c>
      <c r="D8" s="21">
        <f t="shared" si="0"/>
        <v>7.5503970805084086E-2</v>
      </c>
      <c r="E8" s="20">
        <f>'00-BUDGET'!D$14*D8</f>
        <v>964878.30007152061</v>
      </c>
      <c r="F8" s="20">
        <f>'00-BUDGET'!F$14*D8</f>
        <v>1011600.4736931843</v>
      </c>
      <c r="G8" s="20">
        <f>'00-BUDGET'!H$14*D8</f>
        <v>964784.38760343345</v>
      </c>
    </row>
    <row r="9" spans="1:7" x14ac:dyDescent="0.25">
      <c r="B9" s="4" t="s">
        <v>38</v>
      </c>
      <c r="C9" s="20">
        <v>2502078.7779999999</v>
      </c>
      <c r="D9" s="21">
        <f t="shared" si="0"/>
        <v>0.17184344693272735</v>
      </c>
      <c r="E9" s="20">
        <f>'00-BUDGET'!D$14*D9</f>
        <v>2196017.125813412</v>
      </c>
      <c r="F9" s="20">
        <f>'00-BUDGET'!F$14*D9</f>
        <v>2302354.5710858321</v>
      </c>
      <c r="G9" s="20">
        <f>'00-BUDGET'!H$14*D9</f>
        <v>2195803.3855020883</v>
      </c>
    </row>
    <row r="10" spans="1:7" x14ac:dyDescent="0.25">
      <c r="B10" s="4" t="s">
        <v>39</v>
      </c>
      <c r="C10" s="20">
        <v>690762.67799999996</v>
      </c>
      <c r="D10" s="21">
        <f t="shared" si="0"/>
        <v>4.7441767478994069E-2</v>
      </c>
      <c r="E10" s="20">
        <f>'00-BUDGET'!D$14*D10</f>
        <v>606266.55087705445</v>
      </c>
      <c r="F10" s="20">
        <f>'00-BUDGET'!F$14*D10</f>
        <v>635623.71545313136</v>
      </c>
      <c r="G10" s="20">
        <f>'00-BUDGET'!H$14*D10</f>
        <v>606207.54241131607</v>
      </c>
    </row>
    <row r="11" spans="1:7" ht="31.5" x14ac:dyDescent="0.25">
      <c r="B11" s="4" t="s">
        <v>40</v>
      </c>
      <c r="C11" s="20">
        <v>906817.71</v>
      </c>
      <c r="D11" s="21">
        <f t="shared" si="0"/>
        <v>6.2280485489191233E-2</v>
      </c>
      <c r="E11" s="20">
        <f>'00-BUDGET'!D$14*D11</f>
        <v>795893.0944383319</v>
      </c>
      <c r="F11" s="20">
        <f>'00-BUDGET'!F$14*D11</f>
        <v>834432.51991807844</v>
      </c>
      <c r="G11" s="20">
        <f>'00-BUDGET'!H$14*D11</f>
        <v>795815.62945147639</v>
      </c>
    </row>
    <row r="12" spans="1:7" x14ac:dyDescent="0.25">
      <c r="B12" s="4" t="s">
        <v>41</v>
      </c>
      <c r="C12" s="20">
        <v>1017143.17</v>
      </c>
      <c r="D12" s="21">
        <f t="shared" si="0"/>
        <v>6.9857667909479823E-2</v>
      </c>
      <c r="E12" s="20">
        <f>'00-BUDGET'!D$14*D12</f>
        <v>892723.21893461305</v>
      </c>
      <c r="F12" s="20">
        <f>'00-BUDGET'!F$14*D12</f>
        <v>935951.43665705714</v>
      </c>
      <c r="G12" s="20">
        <f>'00-BUDGET'!H$14*D12</f>
        <v>892636.32938511996</v>
      </c>
    </row>
    <row r="13" spans="1:7" x14ac:dyDescent="0.25">
      <c r="B13" s="4" t="s">
        <v>42</v>
      </c>
      <c r="C13" s="20">
        <v>900964.81</v>
      </c>
      <c r="D13" s="21">
        <f t="shared" si="0"/>
        <v>6.1878506734806646E-2</v>
      </c>
      <c r="E13" s="20">
        <f>'00-BUDGET'!D$14*D13</f>
        <v>790756.13842052536</v>
      </c>
      <c r="F13" s="20">
        <f>'00-BUDGET'!F$14*D13</f>
        <v>829046.81776209781</v>
      </c>
      <c r="G13" s="20">
        <f>'00-BUDGET'!H$14*D13</f>
        <v>790679.1734181944</v>
      </c>
    </row>
    <row r="14" spans="1:7" ht="31.5" x14ac:dyDescent="0.25">
      <c r="B14" s="4" t="s">
        <v>43</v>
      </c>
      <c r="C14" s="20">
        <v>1373109.69</v>
      </c>
      <c r="D14" s="21">
        <f t="shared" si="0"/>
        <v>9.4305544741856526E-2</v>
      </c>
      <c r="E14" s="20">
        <f>'00-BUDGET'!D$14*D14</f>
        <v>1205146.8648283884</v>
      </c>
      <c r="F14" s="20">
        <f>'00-BUDGET'!F$14*D14</f>
        <v>1263503.5312120577</v>
      </c>
      <c r="G14" s="20">
        <f>'00-BUDGET'!H$14*D14</f>
        <v>1205029.566805959</v>
      </c>
    </row>
    <row r="15" spans="1:7" ht="31.5" x14ac:dyDescent="0.25">
      <c r="B15" s="4" t="s">
        <v>44</v>
      </c>
      <c r="C15" s="20">
        <v>97705.68</v>
      </c>
      <c r="D15" s="21">
        <f t="shared" si="0"/>
        <v>6.7104525180166161E-3</v>
      </c>
      <c r="E15" s="20">
        <f>'00-BUDGET'!D$14*D15</f>
        <v>85754.033188656438</v>
      </c>
      <c r="F15" s="20">
        <f>'00-BUDGET'!F$14*D15</f>
        <v>89906.489334785263</v>
      </c>
      <c r="G15" s="20">
        <f>'00-BUDGET'!H$14*D15</f>
        <v>85745.686671894087</v>
      </c>
    </row>
    <row r="16" spans="1:7" ht="31.5" x14ac:dyDescent="0.25">
      <c r="B16" s="4" t="s">
        <v>45</v>
      </c>
      <c r="C16" s="20">
        <v>751964.04599999997</v>
      </c>
      <c r="D16" s="21">
        <f t="shared" si="0"/>
        <v>5.1645093979578907E-2</v>
      </c>
      <c r="E16" s="20">
        <f>'00-BUDGET'!D$14*D16</f>
        <v>659981.58712329098</v>
      </c>
      <c r="F16" s="20">
        <f>'00-BUDGET'!F$14*D16</f>
        <v>691939.78775687329</v>
      </c>
      <c r="G16" s="20">
        <f>'00-BUDGET'!H$14*D16</f>
        <v>659917.35052502342</v>
      </c>
    </row>
    <row r="17" spans="2:10" ht="31.5" x14ac:dyDescent="0.25">
      <c r="B17" s="4" t="s">
        <v>46</v>
      </c>
      <c r="C17" s="20">
        <v>821097.9</v>
      </c>
      <c r="D17" s="21">
        <f t="shared" si="0"/>
        <v>5.6393225763263263E-2</v>
      </c>
      <c r="E17" s="20">
        <f>'00-BUDGET'!D$14*D17</f>
        <v>720658.78429724986</v>
      </c>
      <c r="F17" s="20">
        <f>'00-BUDGET'!F$14*D17</f>
        <v>755555.14878116176</v>
      </c>
      <c r="G17" s="20">
        <f>'00-BUDGET'!H$14*D17</f>
        <v>720588.64193310193</v>
      </c>
      <c r="H17" s="22"/>
      <c r="I17" s="22"/>
      <c r="J17" s="22"/>
    </row>
    <row r="18" spans="2:10" ht="31.5" x14ac:dyDescent="0.25">
      <c r="B18" s="4" t="s">
        <v>47</v>
      </c>
      <c r="C18" s="20">
        <v>423214.755</v>
      </c>
      <c r="D18" s="21">
        <f t="shared" si="0"/>
        <v>2.9066503793346871E-2</v>
      </c>
      <c r="E18" s="20">
        <f>'00-BUDGET'!D$14*D18</f>
        <v>371445.87854256894</v>
      </c>
      <c r="F18" s="20">
        <f>'00-BUDGET'!F$14*D18</f>
        <v>389432.35292698705</v>
      </c>
      <c r="G18" s="20">
        <f>'00-BUDGET'!H$14*D18</f>
        <v>371409.7253829299</v>
      </c>
    </row>
    <row r="19" spans="2:10" x14ac:dyDescent="0.25">
      <c r="B19" s="4" t="s">
        <v>48</v>
      </c>
      <c r="C19" s="20">
        <v>110717.51</v>
      </c>
      <c r="D19" s="21">
        <f t="shared" si="0"/>
        <v>7.6041085202828524E-3</v>
      </c>
      <c r="E19" s="20">
        <f>'00-BUDGET'!D$14*D19</f>
        <v>97174.217784527995</v>
      </c>
      <c r="F19" s="20">
        <f>'00-BUDGET'!F$14*D19</f>
        <v>101879.67201076724</v>
      </c>
      <c r="G19" s="20">
        <f>'00-BUDGET'!H$14*D19</f>
        <v>97164.7597309829</v>
      </c>
    </row>
    <row r="20" spans="2:10" x14ac:dyDescent="0.25">
      <c r="B20" s="4" t="s">
        <v>49</v>
      </c>
      <c r="C20" s="20">
        <v>12450</v>
      </c>
      <c r="D20" s="21">
        <f t="shared" si="0"/>
        <v>8.5506936597040087E-4</v>
      </c>
      <c r="E20" s="20">
        <f>'00-BUDGET'!D$14*D20</f>
        <v>10927.07929773144</v>
      </c>
      <c r="F20" s="20">
        <f>'00-BUDGET'!F$14*D20</f>
        <v>11456.199805559683</v>
      </c>
      <c r="G20" s="20">
        <f>'00-BUDGET'!H$14*D20</f>
        <v>10926.015755328468</v>
      </c>
    </row>
    <row r="21" spans="2:10" x14ac:dyDescent="0.25">
      <c r="B21" s="4" t="s">
        <v>50</v>
      </c>
      <c r="C21" s="20">
        <v>150377.70000000001</v>
      </c>
      <c r="D21" s="21">
        <f t="shared" si="0"/>
        <v>1.0327981091974872E-2</v>
      </c>
      <c r="E21" s="20">
        <f>'00-BUDGET'!D$14*D21</f>
        <v>131983.05642654371</v>
      </c>
      <c r="F21" s="20">
        <f>'00-BUDGET'!F$14*D21</f>
        <v>138374.05441771183</v>
      </c>
      <c r="G21" s="20">
        <f>'00-BUDGET'!H$14*D21</f>
        <v>131970.21039759502</v>
      </c>
    </row>
    <row r="22" spans="2:10" ht="31.5" x14ac:dyDescent="0.25">
      <c r="B22" s="4" t="s">
        <v>6</v>
      </c>
      <c r="C22" s="20">
        <v>0</v>
      </c>
      <c r="D22" s="21">
        <f t="shared" si="0"/>
        <v>0</v>
      </c>
      <c r="E22" s="20">
        <f>'00-BUDGET'!D$14*D22</f>
        <v>0</v>
      </c>
      <c r="F22" s="20">
        <f>'00-BUDGET'!F$14*D22</f>
        <v>0</v>
      </c>
      <c r="G22" s="20">
        <f>'00-BUDGET'!H$14*D22</f>
        <v>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2"/>
  <sheetViews>
    <sheetView topLeftCell="B1" zoomScale="85" zoomScaleNormal="85" workbookViewId="0">
      <selection activeCell="B1" sqref="B1"/>
    </sheetView>
  </sheetViews>
  <sheetFormatPr defaultColWidth="8.625" defaultRowHeight="15.75" x14ac:dyDescent="0.25"/>
  <cols>
    <col min="1" max="1" width="9.125" style="1" hidden="1" customWidth="1"/>
    <col min="2" max="2" width="43.375" style="1" customWidth="1"/>
    <col min="3" max="3" width="30.375" style="1" customWidth="1"/>
    <col min="5" max="7" width="18.5" style="1" customWidth="1"/>
    <col min="16380" max="16384" width="10.5" style="1" customWidth="1"/>
  </cols>
  <sheetData>
    <row r="1" spans="1:7" ht="54" x14ac:dyDescent="0.25">
      <c r="A1" s="1" t="s">
        <v>27</v>
      </c>
      <c r="B1" s="19" t="s">
        <v>0</v>
      </c>
      <c r="C1" s="19" t="s">
        <v>3</v>
      </c>
      <c r="D1" s="19" t="s">
        <v>22</v>
      </c>
      <c r="E1" s="19" t="s">
        <v>51</v>
      </c>
      <c r="F1" s="19" t="s">
        <v>52</v>
      </c>
      <c r="G1" s="19" t="s">
        <v>53</v>
      </c>
    </row>
    <row r="2" spans="1:7" x14ac:dyDescent="0.25">
      <c r="A2" s="1" t="e">
        <f>CONCATENATE(B2,#REF!)</f>
        <v>#REF!</v>
      </c>
      <c r="B2" s="4" t="s">
        <v>32</v>
      </c>
      <c r="C2" s="20">
        <v>1299400</v>
      </c>
      <c r="D2" s="21">
        <f t="shared" ref="D2:D22" si="0">C2/SUM(C$2:C$24)</f>
        <v>5.5164332951603848E-2</v>
      </c>
      <c r="E2" s="23">
        <f>'00-BUDGET'!D$15*D2</f>
        <v>251769.48233590141</v>
      </c>
      <c r="F2" s="23">
        <f>'00-BUDGET'!F$15*D2</f>
        <v>273737.21148202667</v>
      </c>
      <c r="G2" s="23">
        <f>'00-BUDGET'!H$15*D2</f>
        <v>271109.97564749845</v>
      </c>
    </row>
    <row r="3" spans="1:7" x14ac:dyDescent="0.25">
      <c r="A3" s="1" t="e">
        <f>CONCATENATE(B3,#REF!)</f>
        <v>#REF!</v>
      </c>
      <c r="B3" s="4" t="s">
        <v>10</v>
      </c>
      <c r="C3" s="20">
        <v>829280</v>
      </c>
      <c r="D3" s="21">
        <f t="shared" si="0"/>
        <v>3.5206001254506722E-2</v>
      </c>
      <c r="E3" s="23">
        <f>'00-BUDGET'!D$15*D3</f>
        <v>160679.84940088989</v>
      </c>
      <c r="F3" s="23">
        <f>'00-BUDGET'!F$15*D3</f>
        <v>174699.7035076305</v>
      </c>
      <c r="G3" s="23">
        <f>'00-BUDGET'!H$15*D3</f>
        <v>173022.99569413383</v>
      </c>
    </row>
    <row r="4" spans="1:7" x14ac:dyDescent="0.25">
      <c r="A4" s="1" t="e">
        <f>CONCATENATE(B4,#REF!)</f>
        <v>#REF!</v>
      </c>
      <c r="B4" s="4" t="s">
        <v>33</v>
      </c>
      <c r="C4" s="20">
        <v>1950560</v>
      </c>
      <c r="D4" s="21">
        <f t="shared" si="0"/>
        <v>8.2808481823980609E-2</v>
      </c>
      <c r="E4" s="23">
        <f>'00-BUDGET'!D$15*D4</f>
        <v>377937.11056265648</v>
      </c>
      <c r="F4" s="23">
        <f>'00-BUDGET'!F$15*D4</f>
        <v>410913.38712358166</v>
      </c>
      <c r="G4" s="23">
        <f>'00-BUDGET'!H$15*D4</f>
        <v>406969.58142141346</v>
      </c>
    </row>
    <row r="5" spans="1:7" ht="26.85" customHeight="1" x14ac:dyDescent="0.25">
      <c r="A5" s="1" t="e">
        <f>CONCATENATE(B5,#REF!)</f>
        <v>#REF!</v>
      </c>
      <c r="B5" s="4" t="s">
        <v>34</v>
      </c>
      <c r="C5" s="20">
        <v>365000</v>
      </c>
      <c r="D5" s="21">
        <f t="shared" si="0"/>
        <v>1.5495599143708946E-2</v>
      </c>
      <c r="E5" s="23">
        <f>'00-BUDGET'!D$15*D5</f>
        <v>70721.764701095904</v>
      </c>
      <c r="F5" s="23">
        <f>'00-BUDGET'!F$15*D5</f>
        <v>76892.47513540076</v>
      </c>
      <c r="G5" s="23">
        <f>'00-BUDGET'!H$15*D5</f>
        <v>76154.487541432158</v>
      </c>
    </row>
    <row r="6" spans="1:7" x14ac:dyDescent="0.25">
      <c r="A6" s="1" t="e">
        <f>CONCATENATE(B6,#REF!)</f>
        <v>#REF!</v>
      </c>
      <c r="B6" s="4" t="s">
        <v>35</v>
      </c>
      <c r="C6" s="20">
        <v>429240</v>
      </c>
      <c r="D6" s="21">
        <f t="shared" si="0"/>
        <v>1.8222824593001719E-2</v>
      </c>
      <c r="E6" s="23">
        <f>'00-BUDGET'!D$15*D6</f>
        <v>83168.795288488778</v>
      </c>
      <c r="F6" s="23">
        <f>'00-BUDGET'!F$15*D6</f>
        <v>90425.550759231279</v>
      </c>
      <c r="G6" s="23">
        <f>'00-BUDGET'!H$15*D6</f>
        <v>89557.677348724203</v>
      </c>
    </row>
    <row r="7" spans="1:7" x14ac:dyDescent="0.25">
      <c r="A7" s="1" t="e">
        <f>CONCATENATE(B7,#REF!)</f>
        <v>#REF!</v>
      </c>
      <c r="B7" s="4" t="s">
        <v>36</v>
      </c>
      <c r="C7" s="20">
        <v>429240</v>
      </c>
      <c r="D7" s="21">
        <f t="shared" si="0"/>
        <v>1.8222824593001719E-2</v>
      </c>
      <c r="E7" s="23">
        <f>'00-BUDGET'!D$15*D7</f>
        <v>83168.795288488778</v>
      </c>
      <c r="F7" s="23">
        <f>'00-BUDGET'!F$15*D7</f>
        <v>90425.550759231279</v>
      </c>
      <c r="G7" s="23">
        <f>'00-BUDGET'!H$15*D7</f>
        <v>89557.677348724203</v>
      </c>
    </row>
    <row r="8" spans="1:7" ht="31.5" x14ac:dyDescent="0.25">
      <c r="A8" s="1" t="e">
        <f>CONCATENATE(B8,#REF!)</f>
        <v>#REF!</v>
      </c>
      <c r="B8" s="4" t="s">
        <v>37</v>
      </c>
      <c r="C8" s="20">
        <v>1223480</v>
      </c>
      <c r="D8" s="21">
        <f t="shared" si="0"/>
        <v>5.1941248329712385E-2</v>
      </c>
      <c r="E8" s="23">
        <f>'00-BUDGET'!D$15*D8</f>
        <v>237059.35527807346</v>
      </c>
      <c r="F8" s="23">
        <f>'00-BUDGET'!F$15*D8</f>
        <v>257743.57665386333</v>
      </c>
      <c r="G8" s="23">
        <f>'00-BUDGET'!H$15*D8</f>
        <v>255269.84223888058</v>
      </c>
    </row>
    <row r="9" spans="1:7" x14ac:dyDescent="0.25">
      <c r="B9" s="4" t="s">
        <v>38</v>
      </c>
      <c r="C9" s="20">
        <v>3209080</v>
      </c>
      <c r="D9" s="21">
        <f t="shared" si="0"/>
        <v>0.13623730767148906</v>
      </c>
      <c r="E9" s="23">
        <f>'00-BUDGET'!D$15*D9</f>
        <v>621785.75525203522</v>
      </c>
      <c r="F9" s="23">
        <f>'00-BUDGET'!F$15*D9</f>
        <v>676038.64139044355</v>
      </c>
      <c r="G9" s="23">
        <f>'00-BUDGET'!H$15*D9</f>
        <v>669550.25446427159</v>
      </c>
    </row>
    <row r="10" spans="1:7" x14ac:dyDescent="0.25">
      <c r="B10" s="4" t="s">
        <v>39</v>
      </c>
      <c r="C10" s="20">
        <v>751170</v>
      </c>
      <c r="D10" s="21">
        <f t="shared" si="0"/>
        <v>3.1889943037753013E-2</v>
      </c>
      <c r="E10" s="23">
        <f>'00-BUDGET'!D$15*D10</f>
        <v>145545.39175485537</v>
      </c>
      <c r="F10" s="23">
        <f>'00-BUDGET'!F$15*D10</f>
        <v>158244.71382865476</v>
      </c>
      <c r="G10" s="23">
        <f>'00-BUDGET'!H$15*D10</f>
        <v>156725.93536026738</v>
      </c>
    </row>
    <row r="11" spans="1:7" ht="31.5" x14ac:dyDescent="0.25">
      <c r="B11" s="4" t="s">
        <v>40</v>
      </c>
      <c r="C11" s="20">
        <v>1335840</v>
      </c>
      <c r="D11" s="21">
        <f t="shared" si="0"/>
        <v>5.6711345644197692E-2</v>
      </c>
      <c r="E11" s="23">
        <f>'00-BUDGET'!D$15*D11</f>
        <v>258830.03331044369</v>
      </c>
      <c r="F11" s="23">
        <f>'00-BUDGET'!F$15*D11</f>
        <v>281413.81913664041</v>
      </c>
      <c r="G11" s="23">
        <f>'00-BUDGET'!H$15*D11</f>
        <v>278712.90585574444</v>
      </c>
    </row>
    <row r="12" spans="1:7" x14ac:dyDescent="0.25">
      <c r="B12" s="4" t="s">
        <v>41</v>
      </c>
      <c r="C12" s="20">
        <v>1078575</v>
      </c>
      <c r="D12" s="21">
        <f t="shared" si="0"/>
        <v>4.5789495469659935E-2</v>
      </c>
      <c r="E12" s="23">
        <f>'00-BUDGET'!D$15*D12</f>
        <v>208982.8146917384</v>
      </c>
      <c r="F12" s="23">
        <f>'00-BUDGET'!F$15*D12</f>
        <v>227217.26402510924</v>
      </c>
      <c r="G12" s="23">
        <f>'00-BUDGET'!H$15*D12</f>
        <v>225036.51068493203</v>
      </c>
    </row>
    <row r="13" spans="1:7" x14ac:dyDescent="0.25">
      <c r="B13" s="4" t="s">
        <v>42</v>
      </c>
      <c r="C13" s="20">
        <v>2380200</v>
      </c>
      <c r="D13" s="21">
        <f t="shared" si="0"/>
        <v>0.10104828789549598</v>
      </c>
      <c r="E13" s="23">
        <f>'00-BUDGET'!D$15*D13</f>
        <v>461183.4091549273</v>
      </c>
      <c r="F13" s="23">
        <f>'00-BUDGET'!F$15*D13</f>
        <v>501423.20360898873</v>
      </c>
      <c r="G13" s="23">
        <f>'00-BUDGET'!H$15*D13</f>
        <v>496610.71574278577</v>
      </c>
    </row>
    <row r="14" spans="1:7" ht="31.5" x14ac:dyDescent="0.25">
      <c r="B14" s="4" t="s">
        <v>43</v>
      </c>
      <c r="C14" s="20">
        <v>1515845</v>
      </c>
      <c r="D14" s="21">
        <f t="shared" si="0"/>
        <v>6.4353223243823254E-2</v>
      </c>
      <c r="E14" s="23">
        <f>'00-BUDGET'!D$15*D14</f>
        <v>293707.4888036513</v>
      </c>
      <c r="F14" s="23">
        <f>'00-BUDGET'!F$15*D14</f>
        <v>319334.44923731935</v>
      </c>
      <c r="G14" s="23">
        <f>'00-BUDGET'!H$15*D14</f>
        <v>316269.58675956773</v>
      </c>
    </row>
    <row r="15" spans="1:7" ht="31.5" x14ac:dyDescent="0.25">
      <c r="B15" s="4" t="s">
        <v>44</v>
      </c>
      <c r="C15" s="20">
        <v>521220</v>
      </c>
      <c r="D15" s="21">
        <f t="shared" si="0"/>
        <v>2.2127715577216375E-2</v>
      </c>
      <c r="E15" s="23">
        <f>'00-BUDGET'!D$15*D15</f>
        <v>100990.67999316494</v>
      </c>
      <c r="F15" s="23">
        <f>'00-BUDGET'!F$15*D15</f>
        <v>109802.45449335228</v>
      </c>
      <c r="G15" s="23">
        <f>'00-BUDGET'!H$15*D15</f>
        <v>108748.60820916512</v>
      </c>
    </row>
    <row r="16" spans="1:7" ht="31.5" x14ac:dyDescent="0.25">
      <c r="B16" s="4" t="s">
        <v>45</v>
      </c>
      <c r="C16" s="20">
        <v>1073100</v>
      </c>
      <c r="D16" s="21">
        <f t="shared" si="0"/>
        <v>4.5557061482504303E-2</v>
      </c>
      <c r="E16" s="23">
        <f>'00-BUDGET'!D$15*D16</f>
        <v>207921.98822122195</v>
      </c>
      <c r="F16" s="23">
        <f>'00-BUDGET'!F$15*D16</f>
        <v>226063.87689807825</v>
      </c>
      <c r="G16" s="23">
        <f>'00-BUDGET'!H$15*D16</f>
        <v>223894.19337181054</v>
      </c>
    </row>
    <row r="17" spans="2:7" ht="31.5" x14ac:dyDescent="0.25">
      <c r="B17" s="4" t="s">
        <v>46</v>
      </c>
      <c r="C17" s="20">
        <v>1073100</v>
      </c>
      <c r="D17" s="21">
        <f t="shared" si="0"/>
        <v>4.5557061482504303E-2</v>
      </c>
      <c r="E17" s="23">
        <f>'00-BUDGET'!D$15*D17</f>
        <v>207921.98822122195</v>
      </c>
      <c r="F17" s="23">
        <f>'00-BUDGET'!F$15*D17</f>
        <v>226063.87689807825</v>
      </c>
      <c r="G17" s="23">
        <f>'00-BUDGET'!H$15*D17</f>
        <v>223894.19337181054</v>
      </c>
    </row>
    <row r="18" spans="2:7" ht="31.5" x14ac:dyDescent="0.25">
      <c r="B18" s="4" t="s">
        <v>47</v>
      </c>
      <c r="C18" s="20">
        <v>585825</v>
      </c>
      <c r="D18" s="21">
        <f t="shared" si="0"/>
        <v>2.4870436625652859E-2</v>
      </c>
      <c r="E18" s="23">
        <f>'00-BUDGET'!D$15*D18</f>
        <v>113508.43234525893</v>
      </c>
      <c r="F18" s="23">
        <f>'00-BUDGET'!F$15*D18</f>
        <v>123412.42259231822</v>
      </c>
      <c r="G18" s="23">
        <f>'00-BUDGET'!H$15*D18</f>
        <v>122227.9525039986</v>
      </c>
    </row>
    <row r="19" spans="2:7" x14ac:dyDescent="0.25">
      <c r="B19" s="4" t="s">
        <v>48</v>
      </c>
      <c r="C19" s="20">
        <v>926480</v>
      </c>
      <c r="D19" s="21">
        <f t="shared" si="0"/>
        <v>3.9332500533324558E-2</v>
      </c>
      <c r="E19" s="23">
        <f>'00-BUDGET'!D$15*D19</f>
        <v>179513.15221992144</v>
      </c>
      <c r="F19" s="23">
        <f>'00-BUDGET'!F$15*D19</f>
        <v>195176.27496834545</v>
      </c>
      <c r="G19" s="23">
        <f>'00-BUDGET'!H$15*D19</f>
        <v>193303.04004763303</v>
      </c>
    </row>
    <row r="20" spans="2:7" x14ac:dyDescent="0.25">
      <c r="B20" s="4" t="s">
        <v>49</v>
      </c>
      <c r="C20" s="20">
        <v>1964000</v>
      </c>
      <c r="D20" s="21">
        <f t="shared" si="0"/>
        <v>8.3379059502039374E-2</v>
      </c>
      <c r="E20" s="23">
        <f>'00-BUDGET'!D$15*D20</f>
        <v>380541.22156973247</v>
      </c>
      <c r="F20" s="23">
        <f>'00-BUDGET'!F$15*D20</f>
        <v>413744.71552308794</v>
      </c>
      <c r="G20" s="23">
        <f>'00-BUDGET'!H$15*D20</f>
        <v>409773.73570239113</v>
      </c>
    </row>
    <row r="21" spans="2:7" x14ac:dyDescent="0.25">
      <c r="B21" s="4" t="s">
        <v>50</v>
      </c>
      <c r="C21" s="20">
        <v>561880</v>
      </c>
      <c r="D21" s="21">
        <f t="shared" si="0"/>
        <v>2.3853882868129266E-2</v>
      </c>
      <c r="E21" s="23">
        <f>'00-BUDGET'!D$15*D21</f>
        <v>108868.89082260757</v>
      </c>
      <c r="F21" s="23">
        <f>'00-BUDGET'!F$15*D21</f>
        <v>118368.06555912048</v>
      </c>
      <c r="G21" s="23">
        <f>'00-BUDGET'!H$15*D21</f>
        <v>117232.00947884904</v>
      </c>
    </row>
    <row r="22" spans="2:7" ht="31.5" x14ac:dyDescent="0.25">
      <c r="B22" s="4" t="s">
        <v>6</v>
      </c>
      <c r="C22" s="20">
        <v>52560</v>
      </c>
      <c r="D22" s="21">
        <f t="shared" si="0"/>
        <v>2.231366276694088E-3</v>
      </c>
      <c r="E22" s="23">
        <f>'00-BUDGET'!D$15*D22</f>
        <v>10183.934116957809</v>
      </c>
      <c r="F22" s="23">
        <f>'00-BUDGET'!F$15*D22</f>
        <v>11072.516419497708</v>
      </c>
      <c r="G22" s="23">
        <f>'00-BUDGET'!H$15*D22</f>
        <v>10966.246205966228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2"/>
  <sheetViews>
    <sheetView topLeftCell="B1" zoomScale="85" zoomScaleNormal="85" workbookViewId="0">
      <selection activeCell="P1" sqref="P1"/>
    </sheetView>
  </sheetViews>
  <sheetFormatPr defaultColWidth="8.625" defaultRowHeight="15.75" x14ac:dyDescent="0.25"/>
  <cols>
    <col min="1" max="1" width="9.125" style="1" hidden="1" customWidth="1"/>
    <col min="2" max="2" width="11.25" style="1" customWidth="1"/>
    <col min="3" max="3" width="66.125" style="1" customWidth="1"/>
    <col min="4" max="4" width="41.75" style="1" customWidth="1"/>
    <col min="5" max="5" width="35.625" style="1" customWidth="1"/>
    <col min="6" max="7" width="16.875" style="1" customWidth="1"/>
    <col min="8" max="8" width="16.25" style="1" customWidth="1"/>
    <col min="10" max="10" width="16" style="1" customWidth="1"/>
    <col min="11" max="11" width="12.5" style="1" customWidth="1"/>
    <col min="13" max="13" width="34.5" style="1" customWidth="1"/>
    <col min="14" max="14" width="39.25" style="1" customWidth="1"/>
    <col min="15" max="15" width="32.25" style="1" customWidth="1"/>
    <col min="16384" max="16384" width="10.5" style="1" customWidth="1"/>
  </cols>
  <sheetData>
    <row r="1" spans="1:15" ht="162" x14ac:dyDescent="0.25">
      <c r="A1" s="24" t="s">
        <v>27</v>
      </c>
      <c r="B1" s="19" t="s">
        <v>54</v>
      </c>
      <c r="C1" s="19" t="s">
        <v>55</v>
      </c>
      <c r="D1" s="19" t="s">
        <v>56</v>
      </c>
      <c r="E1" s="19" t="s">
        <v>57</v>
      </c>
      <c r="F1" s="19" t="s">
        <v>58</v>
      </c>
      <c r="G1" s="19"/>
      <c r="H1" s="25" t="s">
        <v>59</v>
      </c>
      <c r="I1" s="25" t="s">
        <v>60</v>
      </c>
      <c r="J1" s="25" t="s">
        <v>61</v>
      </c>
      <c r="K1" s="25" t="s">
        <v>62</v>
      </c>
      <c r="L1" s="25" t="s">
        <v>63</v>
      </c>
      <c r="M1" s="25" t="s">
        <v>64</v>
      </c>
      <c r="N1" s="19" t="s">
        <v>65</v>
      </c>
      <c r="O1" s="19" t="s">
        <v>66</v>
      </c>
    </row>
    <row r="2" spans="1:15" ht="31.5" x14ac:dyDescent="0.25">
      <c r="A2" s="26" t="str">
        <f t="shared" ref="A2:A16" si="0">CONCATENATE(D2,E2)</f>
        <v>LO SPECCHIO - Domusnovas
SRP2 minori</v>
      </c>
      <c r="B2" s="12" t="s">
        <v>67</v>
      </c>
      <c r="C2" s="12" t="s">
        <v>44</v>
      </c>
      <c r="D2" s="12" t="s">
        <v>68</v>
      </c>
      <c r="E2" s="27" t="s">
        <v>69</v>
      </c>
      <c r="F2" s="12">
        <v>7.5018914422396707E-2</v>
      </c>
      <c r="G2" s="12" t="str">
        <f t="shared" ref="G2:G42" si="1">CONCATENATE(B2,E2)</f>
        <v>SULCIS
SRP2 minori</v>
      </c>
      <c r="H2" s="28">
        <f t="shared" ref="H2:H42" si="2">COUNTIF(G$2:G$42,G2)</f>
        <v>1</v>
      </c>
      <c r="I2" s="28">
        <f t="shared" ref="I2:I42" si="3">COUNTIF(E$2:E$42,E2)</f>
        <v>2</v>
      </c>
      <c r="J2" s="12">
        <f t="shared" ref="J2:J42" si="4">IF(1-(H2/I2)=0,1,1-(H2/I2))</f>
        <v>0.5</v>
      </c>
      <c r="K2" s="12">
        <f t="shared" ref="K2:K42" si="5">AVERAGE(J2,F2)</f>
        <v>0.28750945721119836</v>
      </c>
      <c r="L2" s="29">
        <f t="shared" ref="L2:L42" si="6">K2/SUM(K$2:K$42)</f>
        <v>1.5431827081118883E-2</v>
      </c>
      <c r="M2" s="12">
        <f>'00-BUDGET'!D$16*L2</f>
        <v>14086.141924779626</v>
      </c>
      <c r="N2" s="12">
        <f>'00-BUDGET'!F$16*L2</f>
        <v>22972.80735886515</v>
      </c>
      <c r="O2" s="12">
        <f>'00-BUDGET'!H$16*L2</f>
        <v>30336.429647968111</v>
      </c>
    </row>
    <row r="3" spans="1:15" x14ac:dyDescent="0.25">
      <c r="A3" s="26" t="str">
        <f t="shared" si="0"/>
        <v>Emmaus SRP3SRP3 adulti</v>
      </c>
      <c r="B3" s="12" t="s">
        <v>67</v>
      </c>
      <c r="C3" s="12" t="s">
        <v>6</v>
      </c>
      <c r="D3" s="12" t="s">
        <v>70</v>
      </c>
      <c r="E3" s="12" t="s">
        <v>11</v>
      </c>
      <c r="F3" s="12">
        <v>7.5018914422396707E-2</v>
      </c>
      <c r="G3" s="12" t="str">
        <f t="shared" si="1"/>
        <v>SULCISSRP3 adulti</v>
      </c>
      <c r="H3" s="28">
        <f t="shared" si="2"/>
        <v>1</v>
      </c>
      <c r="I3" s="28">
        <f t="shared" si="3"/>
        <v>2</v>
      </c>
      <c r="J3" s="12">
        <f t="shared" si="4"/>
        <v>0.5</v>
      </c>
      <c r="K3" s="12">
        <f t="shared" si="5"/>
        <v>0.28750945721119836</v>
      </c>
      <c r="L3" s="29">
        <f t="shared" si="6"/>
        <v>1.5431827081118883E-2</v>
      </c>
      <c r="M3" s="12">
        <f>'00-BUDGET'!D$16*L3</f>
        <v>14086.141924779626</v>
      </c>
      <c r="N3" s="12">
        <f>'00-BUDGET'!F$16*L3</f>
        <v>22972.80735886515</v>
      </c>
      <c r="O3" s="12">
        <f>'00-BUDGET'!H$16*L3</f>
        <v>30336.429647968111</v>
      </c>
    </row>
    <row r="4" spans="1:15" x14ac:dyDescent="0.25">
      <c r="A4" s="26" t="str">
        <f t="shared" si="0"/>
        <v>COMUNITA' TERAPEUTICA SAN MICHELE  SRP2 adulti</v>
      </c>
      <c r="B4" s="12" t="s">
        <v>71</v>
      </c>
      <c r="C4" s="12" t="s">
        <v>41</v>
      </c>
      <c r="D4" s="12" t="s">
        <v>72</v>
      </c>
      <c r="E4" s="12" t="s">
        <v>7</v>
      </c>
      <c r="F4" s="12">
        <v>5.8371702890174099E-2</v>
      </c>
      <c r="G4" s="12" t="str">
        <f t="shared" si="1"/>
        <v>MEDIO CAMPIDANOSRP2 adulti</v>
      </c>
      <c r="H4" s="28">
        <f t="shared" si="2"/>
        <v>1</v>
      </c>
      <c r="I4" s="28">
        <f t="shared" si="3"/>
        <v>11</v>
      </c>
      <c r="J4" s="12">
        <f t="shared" si="4"/>
        <v>0.90909090909090906</v>
      </c>
      <c r="K4" s="12">
        <f t="shared" si="5"/>
        <v>0.48373130599054159</v>
      </c>
      <c r="L4" s="29">
        <f t="shared" si="6"/>
        <v>2.5963868946009376E-2</v>
      </c>
      <c r="M4" s="12">
        <f>'00-BUDGET'!D$16*L4</f>
        <v>23699.769377104061</v>
      </c>
      <c r="N4" s="12">
        <f>'00-BUDGET'!F$16*L4</f>
        <v>38651.480246125728</v>
      </c>
      <c r="O4" s="12">
        <f>'00-BUDGET'!H$16*L4</f>
        <v>51040.688800445576</v>
      </c>
    </row>
    <row r="5" spans="1:15" x14ac:dyDescent="0.25">
      <c r="A5" s="26" t="str">
        <f t="shared" si="0"/>
        <v>COMUNITA' BETANIASRP1 adulti</v>
      </c>
      <c r="B5" s="12" t="s">
        <v>71</v>
      </c>
      <c r="C5" s="12" t="s">
        <v>41</v>
      </c>
      <c r="D5" s="12" t="s">
        <v>73</v>
      </c>
      <c r="E5" s="12" t="s">
        <v>5</v>
      </c>
      <c r="F5" s="12">
        <v>5.8371702890174099E-2</v>
      </c>
      <c r="G5" s="12" t="str">
        <f t="shared" si="1"/>
        <v>MEDIO CAMPIDANOSRP1 adulti</v>
      </c>
      <c r="H5" s="28">
        <f t="shared" si="2"/>
        <v>1</v>
      </c>
      <c r="I5" s="28">
        <f t="shared" si="3"/>
        <v>14</v>
      </c>
      <c r="J5" s="12">
        <f t="shared" si="4"/>
        <v>0.9285714285714286</v>
      </c>
      <c r="K5" s="12">
        <f t="shared" si="5"/>
        <v>0.49347156573080136</v>
      </c>
      <c r="L5" s="29">
        <f t="shared" si="6"/>
        <v>2.648666915402639E-2</v>
      </c>
      <c r="M5" s="12">
        <f>'00-BUDGET'!D$16*L5</f>
        <v>24176.980396234925</v>
      </c>
      <c r="N5" s="12">
        <f>'00-BUDGET'!F$16*L5</f>
        <v>39429.754160343189</v>
      </c>
      <c r="O5" s="12">
        <f>'00-BUDGET'!H$16*L5</f>
        <v>52068.427878072755</v>
      </c>
    </row>
    <row r="6" spans="1:15" x14ac:dyDescent="0.25">
      <c r="A6" s="26" t="str">
        <f t="shared" si="0"/>
        <v>ANTES - In cima (Ussassai)SRP2 adulti</v>
      </c>
      <c r="B6" s="12" t="s">
        <v>74</v>
      </c>
      <c r="C6" s="12" t="s">
        <v>38</v>
      </c>
      <c r="D6" s="12" t="s">
        <v>75</v>
      </c>
      <c r="E6" s="12" t="s">
        <v>7</v>
      </c>
      <c r="F6" s="12">
        <v>3.4539845648234001E-2</v>
      </c>
      <c r="G6" s="12" t="str">
        <f t="shared" si="1"/>
        <v>OGLIASTRASRP2 adulti</v>
      </c>
      <c r="H6" s="28">
        <f t="shared" si="2"/>
        <v>3</v>
      </c>
      <c r="I6" s="28">
        <f t="shared" si="3"/>
        <v>11</v>
      </c>
      <c r="J6" s="12">
        <f t="shared" si="4"/>
        <v>0.72727272727272729</v>
      </c>
      <c r="K6" s="12">
        <f t="shared" si="5"/>
        <v>0.38090628646048064</v>
      </c>
      <c r="L6" s="29">
        <f t="shared" si="6"/>
        <v>2.0444822941776693E-2</v>
      </c>
      <c r="M6" s="12">
        <f>'00-BUDGET'!D$16*L6</f>
        <v>18661.994854596076</v>
      </c>
      <c r="N6" s="12">
        <f>'00-BUDGET'!F$16*L6</f>
        <v>30435.47445539993</v>
      </c>
      <c r="O6" s="12">
        <f>'00-BUDGET'!H$16*L6</f>
        <v>40191.153618953322</v>
      </c>
    </row>
    <row r="7" spans="1:15" x14ac:dyDescent="0.25">
      <c r="A7" s="26" t="str">
        <f t="shared" si="0"/>
        <v>ANTES - Ahora (Arzana)SRP1 adulti</v>
      </c>
      <c r="B7" s="12" t="s">
        <v>74</v>
      </c>
      <c r="C7" s="12" t="s">
        <v>38</v>
      </c>
      <c r="D7" s="12" t="s">
        <v>76</v>
      </c>
      <c r="E7" s="12" t="s">
        <v>5</v>
      </c>
      <c r="F7" s="12">
        <v>3.4539845648234001E-2</v>
      </c>
      <c r="G7" s="12" t="str">
        <f t="shared" si="1"/>
        <v>OGLIASTRASRP1 adulti</v>
      </c>
      <c r="H7" s="28">
        <f t="shared" si="2"/>
        <v>3</v>
      </c>
      <c r="I7" s="28">
        <f t="shared" si="3"/>
        <v>14</v>
      </c>
      <c r="J7" s="12">
        <f t="shared" si="4"/>
        <v>0.7857142857142857</v>
      </c>
      <c r="K7" s="12">
        <f t="shared" si="5"/>
        <v>0.41012706568125984</v>
      </c>
      <c r="L7" s="29">
        <f t="shared" si="6"/>
        <v>2.201322356582772E-2</v>
      </c>
      <c r="M7" s="12">
        <f>'00-BUDGET'!D$16*L7</f>
        <v>20093.627911988649</v>
      </c>
      <c r="N7" s="12">
        <f>'00-BUDGET'!F$16*L7</f>
        <v>32770.296198052311</v>
      </c>
      <c r="O7" s="12">
        <f>'00-BUDGET'!H$16*L7</f>
        <v>43274.370851834828</v>
      </c>
    </row>
    <row r="8" spans="1:15" x14ac:dyDescent="0.25">
      <c r="A8" s="26" t="str">
        <f t="shared" si="0"/>
        <v>ANTES - STRUTTURA AHORA B - S.P. 23 ARZANA SRP1 adulti</v>
      </c>
      <c r="B8" s="12" t="s">
        <v>74</v>
      </c>
      <c r="C8" s="12" t="s">
        <v>38</v>
      </c>
      <c r="D8" s="12" t="s">
        <v>77</v>
      </c>
      <c r="E8" s="12" t="s">
        <v>5</v>
      </c>
      <c r="F8" s="12">
        <v>3.4539845648234001E-2</v>
      </c>
      <c r="G8" s="12" t="str">
        <f t="shared" si="1"/>
        <v>OGLIASTRASRP1 adulti</v>
      </c>
      <c r="H8" s="28">
        <f t="shared" si="2"/>
        <v>3</v>
      </c>
      <c r="I8" s="28">
        <f t="shared" si="3"/>
        <v>14</v>
      </c>
      <c r="J8" s="12">
        <f t="shared" si="4"/>
        <v>0.7857142857142857</v>
      </c>
      <c r="K8" s="12">
        <f t="shared" si="5"/>
        <v>0.41012706568125984</v>
      </c>
      <c r="L8" s="29">
        <f t="shared" si="6"/>
        <v>2.201322356582772E-2</v>
      </c>
      <c r="M8" s="12">
        <f>'00-BUDGET'!D$16*L8</f>
        <v>20093.627911988649</v>
      </c>
      <c r="N8" s="12">
        <f>'00-BUDGET'!F$16*L8</f>
        <v>32770.296198052311</v>
      </c>
      <c r="O8" s="12">
        <f>'00-BUDGET'!H$16*L8</f>
        <v>43274.370851834828</v>
      </c>
    </row>
    <row r="9" spans="1:15" x14ac:dyDescent="0.25">
      <c r="A9" s="26" t="str">
        <f t="shared" si="0"/>
        <v>ANTES - STRUTTURA AHORA B - S.P. 23 ARZANA SRP2 adulti</v>
      </c>
      <c r="B9" s="12" t="s">
        <v>74</v>
      </c>
      <c r="C9" s="12" t="s">
        <v>38</v>
      </c>
      <c r="D9" s="12" t="s">
        <v>77</v>
      </c>
      <c r="E9" s="12" t="s">
        <v>7</v>
      </c>
      <c r="F9" s="12">
        <v>3.4539845648234001E-2</v>
      </c>
      <c r="G9" s="12" t="str">
        <f t="shared" si="1"/>
        <v>OGLIASTRASRP2 adulti</v>
      </c>
      <c r="H9" s="28">
        <f t="shared" si="2"/>
        <v>3</v>
      </c>
      <c r="I9" s="28">
        <f t="shared" si="3"/>
        <v>11</v>
      </c>
      <c r="J9" s="12">
        <f t="shared" si="4"/>
        <v>0.72727272727272729</v>
      </c>
      <c r="K9" s="12">
        <f t="shared" si="5"/>
        <v>0.38090628646048064</v>
      </c>
      <c r="L9" s="29">
        <f t="shared" si="6"/>
        <v>2.0444822941776693E-2</v>
      </c>
      <c r="M9" s="12">
        <f>'00-BUDGET'!D$16*L9</f>
        <v>18661.994854596076</v>
      </c>
      <c r="N9" s="12">
        <f>'00-BUDGET'!F$16*L9</f>
        <v>30435.47445539993</v>
      </c>
      <c r="O9" s="12">
        <f>'00-BUDGET'!H$16*L9</f>
        <v>40191.153618953322</v>
      </c>
    </row>
    <row r="10" spans="1:15" x14ac:dyDescent="0.25">
      <c r="A10" s="26" t="str">
        <f t="shared" si="0"/>
        <v>ANTES - ANDALA (Gairo)SRP1 adulti</v>
      </c>
      <c r="B10" s="12" t="s">
        <v>74</v>
      </c>
      <c r="C10" s="12" t="s">
        <v>38</v>
      </c>
      <c r="D10" s="12" t="s">
        <v>78</v>
      </c>
      <c r="E10" s="12" t="s">
        <v>5</v>
      </c>
      <c r="F10" s="12">
        <v>3.4539845648234001E-2</v>
      </c>
      <c r="G10" s="12" t="str">
        <f t="shared" si="1"/>
        <v>OGLIASTRASRP1 adulti</v>
      </c>
      <c r="H10" s="28">
        <f t="shared" si="2"/>
        <v>3</v>
      </c>
      <c r="I10" s="28">
        <f t="shared" si="3"/>
        <v>14</v>
      </c>
      <c r="J10" s="12">
        <f t="shared" si="4"/>
        <v>0.7857142857142857</v>
      </c>
      <c r="K10" s="12">
        <f t="shared" si="5"/>
        <v>0.41012706568125984</v>
      </c>
      <c r="L10" s="29">
        <f t="shared" si="6"/>
        <v>2.201322356582772E-2</v>
      </c>
      <c r="M10" s="12">
        <f>'00-BUDGET'!D$16*L10</f>
        <v>20093.627911988649</v>
      </c>
      <c r="N10" s="12">
        <f>'00-BUDGET'!F$16*L10</f>
        <v>32770.296198052311</v>
      </c>
      <c r="O10" s="12">
        <f>'00-BUDGET'!H$16*L10</f>
        <v>43274.370851834828</v>
      </c>
    </row>
    <row r="11" spans="1:15" x14ac:dyDescent="0.25">
      <c r="A11" s="26" t="str">
        <f t="shared" si="0"/>
        <v>ANTES - ANDALA (Gairo)SRP2 adulti</v>
      </c>
      <c r="B11" s="12" t="s">
        <v>74</v>
      </c>
      <c r="C11" s="12" t="s">
        <v>38</v>
      </c>
      <c r="D11" s="12" t="s">
        <v>78</v>
      </c>
      <c r="E11" s="12" t="s">
        <v>7</v>
      </c>
      <c r="F11" s="12">
        <v>3.4539845648234001E-2</v>
      </c>
      <c r="G11" s="12" t="str">
        <f t="shared" si="1"/>
        <v>OGLIASTRASRP2 adulti</v>
      </c>
      <c r="H11" s="28">
        <f t="shared" si="2"/>
        <v>3</v>
      </c>
      <c r="I11" s="28">
        <f t="shared" si="3"/>
        <v>11</v>
      </c>
      <c r="J11" s="12">
        <f t="shared" si="4"/>
        <v>0.72727272727272729</v>
      </c>
      <c r="K11" s="12">
        <f t="shared" si="5"/>
        <v>0.38090628646048064</v>
      </c>
      <c r="L11" s="29">
        <f t="shared" si="6"/>
        <v>2.0444822941776693E-2</v>
      </c>
      <c r="M11" s="12">
        <f>'00-BUDGET'!D$16*L11</f>
        <v>18661.994854596076</v>
      </c>
      <c r="N11" s="12">
        <f>'00-BUDGET'!F$16*L11</f>
        <v>30435.47445539993</v>
      </c>
      <c r="O11" s="12">
        <f>'00-BUDGET'!H$16*L11</f>
        <v>40191.153618953322</v>
      </c>
    </row>
    <row r="12" spans="1:15" x14ac:dyDescent="0.25">
      <c r="A12" s="26" t="str">
        <f t="shared" si="0"/>
        <v>APPRODI SRP1 adulti</v>
      </c>
      <c r="B12" s="12" t="s">
        <v>79</v>
      </c>
      <c r="C12" s="12" t="s">
        <v>35</v>
      </c>
      <c r="D12" s="12" t="s">
        <v>80</v>
      </c>
      <c r="E12" s="12" t="s">
        <v>5</v>
      </c>
      <c r="F12" s="12">
        <v>9.2430262319887796E-2</v>
      </c>
      <c r="G12" s="12" t="str">
        <f t="shared" si="1"/>
        <v>NUOROSRP1 adulti</v>
      </c>
      <c r="H12" s="28">
        <f t="shared" si="2"/>
        <v>1</v>
      </c>
      <c r="I12" s="28">
        <f t="shared" si="3"/>
        <v>14</v>
      </c>
      <c r="J12" s="12">
        <f t="shared" si="4"/>
        <v>0.9285714285714286</v>
      </c>
      <c r="K12" s="12">
        <f t="shared" si="5"/>
        <v>0.51050084544565821</v>
      </c>
      <c r="L12" s="29">
        <f t="shared" si="6"/>
        <v>2.7400701347696576E-2</v>
      </c>
      <c r="M12" s="12">
        <f>'00-BUDGET'!D$16*L12</f>
        <v>25011.307215488163</v>
      </c>
      <c r="N12" s="12">
        <f>'00-BUDGET'!F$16*L12</f>
        <v>40790.441096155053</v>
      </c>
      <c r="O12" s="12">
        <f>'00-BUDGET'!H$16*L12</f>
        <v>53865.264584024437</v>
      </c>
    </row>
    <row r="13" spans="1:15" ht="31.5" x14ac:dyDescent="0.25">
      <c r="A13" s="26" t="str">
        <f t="shared" si="0"/>
        <v>CODESS SOCIALE 
SRP1 adulti</v>
      </c>
      <c r="B13" s="12" t="s">
        <v>67</v>
      </c>
      <c r="C13" s="12" t="s">
        <v>37</v>
      </c>
      <c r="D13" s="27" t="s">
        <v>81</v>
      </c>
      <c r="E13" s="12" t="s">
        <v>5</v>
      </c>
      <c r="F13" s="12">
        <v>7.5018914422396707E-2</v>
      </c>
      <c r="G13" s="12" t="str">
        <f t="shared" si="1"/>
        <v>SULCISSRP1 adulti</v>
      </c>
      <c r="H13" s="28">
        <f t="shared" si="2"/>
        <v>1</v>
      </c>
      <c r="I13" s="28">
        <f t="shared" si="3"/>
        <v>14</v>
      </c>
      <c r="J13" s="12">
        <f t="shared" si="4"/>
        <v>0.9285714285714286</v>
      </c>
      <c r="K13" s="12">
        <f t="shared" si="5"/>
        <v>0.50179517149691266</v>
      </c>
      <c r="L13" s="29">
        <f t="shared" si="6"/>
        <v>2.6933431657493113E-2</v>
      </c>
      <c r="M13" s="12">
        <f>'00-BUDGET'!D$16*L13</f>
        <v>24584.784345658507</v>
      </c>
      <c r="N13" s="12">
        <f>'00-BUDGET'!F$16*L13</f>
        <v>40094.83347164929</v>
      </c>
      <c r="O13" s="12">
        <f>'00-BUDGET'!H$16*L13</f>
        <v>52946.689355765884</v>
      </c>
    </row>
    <row r="14" spans="1:15" ht="31.5" x14ac:dyDescent="0.25">
      <c r="A14" s="26" t="str">
        <f t="shared" si="0"/>
        <v>CODESS SOCIALE 
SRP2 adulti</v>
      </c>
      <c r="B14" s="12" t="s">
        <v>67</v>
      </c>
      <c r="C14" s="12" t="s">
        <v>37</v>
      </c>
      <c r="D14" s="27" t="s">
        <v>81</v>
      </c>
      <c r="E14" s="12" t="s">
        <v>7</v>
      </c>
      <c r="F14" s="12">
        <v>7.5018914422396707E-2</v>
      </c>
      <c r="G14" s="12" t="str">
        <f t="shared" si="1"/>
        <v>SULCISSRP2 adulti</v>
      </c>
      <c r="H14" s="28">
        <f t="shared" si="2"/>
        <v>1</v>
      </c>
      <c r="I14" s="28">
        <f t="shared" si="3"/>
        <v>11</v>
      </c>
      <c r="J14" s="12">
        <f t="shared" si="4"/>
        <v>0.90909090909090906</v>
      </c>
      <c r="K14" s="12">
        <f t="shared" si="5"/>
        <v>0.49205491175665289</v>
      </c>
      <c r="L14" s="29">
        <f t="shared" si="6"/>
        <v>2.6410631449476099E-2</v>
      </c>
      <c r="M14" s="12">
        <f>'00-BUDGET'!D$16*L14</f>
        <v>24107.573326527647</v>
      </c>
      <c r="N14" s="12">
        <f>'00-BUDGET'!F$16*L14</f>
        <v>39316.559557431821</v>
      </c>
      <c r="O14" s="12">
        <f>'00-BUDGET'!H$16*L14</f>
        <v>51918.950278138713</v>
      </c>
    </row>
    <row r="15" spans="1:15" x14ac:dyDescent="0.25">
      <c r="A15" s="26" t="str">
        <f t="shared" si="0"/>
        <v>COOP. SOCIALE CTR ONLUS - AsseminiSRP1 adulti</v>
      </c>
      <c r="B15" s="12" t="s">
        <v>82</v>
      </c>
      <c r="C15" s="12" t="s">
        <v>43</v>
      </c>
      <c r="D15" s="12" t="s">
        <v>83</v>
      </c>
      <c r="E15" s="12" t="s">
        <v>5</v>
      </c>
      <c r="F15" s="12">
        <v>0.34343362439390401</v>
      </c>
      <c r="G15" s="12" t="str">
        <f t="shared" si="1"/>
        <v>CAGLIARISRP1 adulti</v>
      </c>
      <c r="H15" s="28">
        <f t="shared" si="2"/>
        <v>4</v>
      </c>
      <c r="I15" s="28">
        <f t="shared" si="3"/>
        <v>14</v>
      </c>
      <c r="J15" s="12">
        <f t="shared" si="4"/>
        <v>0.7142857142857143</v>
      </c>
      <c r="K15" s="12">
        <f t="shared" si="5"/>
        <v>0.5288596693398091</v>
      </c>
      <c r="L15" s="29">
        <f t="shared" si="6"/>
        <v>2.8386095701313042E-2</v>
      </c>
      <c r="M15" s="12">
        <f>'00-BUDGET'!D$16*L15</f>
        <v>25910.773276373522</v>
      </c>
      <c r="N15" s="12">
        <f>'00-BUDGET'!F$16*L15</f>
        <v>42257.362319361448</v>
      </c>
      <c r="O15" s="12">
        <f>'00-BUDGET'!H$16*L15</f>
        <v>55802.387539514653</v>
      </c>
    </row>
    <row r="16" spans="1:15" x14ac:dyDescent="0.25">
      <c r="A16" s="26" t="str">
        <f t="shared" si="0"/>
        <v>COOP. SOCIALE CTR ONLUS - AsseminiSRP2 adulti</v>
      </c>
      <c r="B16" s="12" t="s">
        <v>82</v>
      </c>
      <c r="C16" s="12" t="s">
        <v>43</v>
      </c>
      <c r="D16" s="12" t="s">
        <v>83</v>
      </c>
      <c r="E16" s="12" t="s">
        <v>7</v>
      </c>
      <c r="F16" s="12">
        <v>0.34343362439390401</v>
      </c>
      <c r="G16" s="12" t="str">
        <f t="shared" si="1"/>
        <v>CAGLIARISRP2 adulti</v>
      </c>
      <c r="H16" s="28">
        <f t="shared" si="2"/>
        <v>2</v>
      </c>
      <c r="I16" s="28">
        <f t="shared" si="3"/>
        <v>11</v>
      </c>
      <c r="J16" s="12">
        <f t="shared" si="4"/>
        <v>0.81818181818181812</v>
      </c>
      <c r="K16" s="12">
        <f t="shared" si="5"/>
        <v>0.58080772128786107</v>
      </c>
      <c r="L16" s="29">
        <f t="shared" si="6"/>
        <v>3.1174363477403766E-2</v>
      </c>
      <c r="M16" s="12">
        <f>'00-BUDGET'!D$16*L16</f>
        <v>28455.8987117381</v>
      </c>
      <c r="N16" s="12">
        <f>'00-BUDGET'!F$16*L16</f>
        <v>46408.156528521242</v>
      </c>
      <c r="O16" s="12">
        <f>'00-BUDGET'!H$16*L16</f>
        <v>61283.662620192903</v>
      </c>
    </row>
    <row r="17" spans="1:15" x14ac:dyDescent="0.25">
      <c r="A17" s="26"/>
      <c r="B17" s="12" t="s">
        <v>84</v>
      </c>
      <c r="C17" s="12" t="s">
        <v>43</v>
      </c>
      <c r="D17" s="12" t="s">
        <v>85</v>
      </c>
      <c r="E17" s="12" t="s">
        <v>5</v>
      </c>
      <c r="F17" s="12">
        <v>9.6021640241071501E-2</v>
      </c>
      <c r="G17" s="12" t="str">
        <f t="shared" si="1"/>
        <v>ORISTANOSRP1 adulti</v>
      </c>
      <c r="H17" s="28">
        <f t="shared" si="2"/>
        <v>3</v>
      </c>
      <c r="I17" s="28">
        <f t="shared" si="3"/>
        <v>14</v>
      </c>
      <c r="J17" s="12">
        <f t="shared" si="4"/>
        <v>0.7857142857142857</v>
      </c>
      <c r="K17" s="12">
        <f t="shared" si="5"/>
        <v>0.44086796297767861</v>
      </c>
      <c r="L17" s="29">
        <f t="shared" si="6"/>
        <v>2.366321524261731E-2</v>
      </c>
      <c r="M17" s="12">
        <f>'00-BUDGET'!D$16*L17</f>
        <v>21599.737124578278</v>
      </c>
      <c r="N17" s="12">
        <f>'00-BUDGET'!F$16*L17</f>
        <v>35226.579613837566</v>
      </c>
      <c r="O17" s="12">
        <f>'00-BUDGET'!H$16*L17</f>
        <v>46517.982652274412</v>
      </c>
    </row>
    <row r="18" spans="1:15" x14ac:dyDescent="0.25">
      <c r="A18" s="26"/>
      <c r="B18" s="12" t="s">
        <v>84</v>
      </c>
      <c r="C18" s="12" t="s">
        <v>43</v>
      </c>
      <c r="D18" s="12" t="s">
        <v>85</v>
      </c>
      <c r="E18" s="12" t="s">
        <v>7</v>
      </c>
      <c r="F18" s="12">
        <v>9.6021640241071501E-2</v>
      </c>
      <c r="G18" s="12" t="str">
        <f t="shared" si="1"/>
        <v>ORISTANOSRP2 adulti</v>
      </c>
      <c r="H18" s="28">
        <f t="shared" si="2"/>
        <v>2</v>
      </c>
      <c r="I18" s="28">
        <f t="shared" si="3"/>
        <v>11</v>
      </c>
      <c r="J18" s="12">
        <f t="shared" si="4"/>
        <v>0.81818181818181812</v>
      </c>
      <c r="K18" s="12">
        <f t="shared" si="5"/>
        <v>0.45710172921144482</v>
      </c>
      <c r="L18" s="29">
        <f t="shared" si="6"/>
        <v>2.4534548922645658E-2</v>
      </c>
      <c r="M18" s="12">
        <f>'00-BUDGET'!D$16*L18</f>
        <v>22395.088823129707</v>
      </c>
      <c r="N18" s="12">
        <f>'00-BUDGET'!F$16*L18</f>
        <v>36523.702804199995</v>
      </c>
      <c r="O18" s="12">
        <f>'00-BUDGET'!H$16*L18</f>
        <v>48230.881114986354</v>
      </c>
    </row>
    <row r="19" spans="1:15" x14ac:dyDescent="0.25">
      <c r="A19" s="26"/>
      <c r="B19" s="12" t="s">
        <v>84</v>
      </c>
      <c r="C19" s="12" t="s">
        <v>43</v>
      </c>
      <c r="D19" s="12" t="s">
        <v>86</v>
      </c>
      <c r="E19" s="12" t="s">
        <v>5</v>
      </c>
      <c r="F19" s="12">
        <v>9.6021640241071501E-2</v>
      </c>
      <c r="G19" s="12" t="str">
        <f t="shared" si="1"/>
        <v>ORISTANOSRP1 adulti</v>
      </c>
      <c r="H19" s="28">
        <f t="shared" si="2"/>
        <v>3</v>
      </c>
      <c r="I19" s="28">
        <f t="shared" si="3"/>
        <v>14</v>
      </c>
      <c r="J19" s="12">
        <f t="shared" si="4"/>
        <v>0.7857142857142857</v>
      </c>
      <c r="K19" s="12">
        <f t="shared" si="5"/>
        <v>0.44086796297767861</v>
      </c>
      <c r="L19" s="29">
        <f t="shared" si="6"/>
        <v>2.366321524261731E-2</v>
      </c>
      <c r="M19" s="12">
        <f>'00-BUDGET'!D$16*L19</f>
        <v>21599.737124578278</v>
      </c>
      <c r="N19" s="12">
        <f>'00-BUDGET'!F$16*L19</f>
        <v>35226.579613837566</v>
      </c>
      <c r="O19" s="12">
        <f>'00-BUDGET'!H$16*L19</f>
        <v>46517.982652274412</v>
      </c>
    </row>
    <row r="20" spans="1:15" x14ac:dyDescent="0.25">
      <c r="A20" s="26"/>
      <c r="B20" s="12" t="s">
        <v>84</v>
      </c>
      <c r="C20" s="12" t="s">
        <v>43</v>
      </c>
      <c r="D20" s="12" t="s">
        <v>86</v>
      </c>
      <c r="E20" s="12" t="s">
        <v>7</v>
      </c>
      <c r="F20" s="12">
        <v>9.6021640241071501E-2</v>
      </c>
      <c r="G20" s="12" t="str">
        <f t="shared" si="1"/>
        <v>ORISTANOSRP2 adulti</v>
      </c>
      <c r="H20" s="28">
        <f t="shared" si="2"/>
        <v>2</v>
      </c>
      <c r="I20" s="28">
        <f t="shared" si="3"/>
        <v>11</v>
      </c>
      <c r="J20" s="12">
        <f t="shared" si="4"/>
        <v>0.81818181818181812</v>
      </c>
      <c r="K20" s="12">
        <f t="shared" si="5"/>
        <v>0.45710172921144482</v>
      </c>
      <c r="L20" s="29">
        <f t="shared" si="6"/>
        <v>2.4534548922645658E-2</v>
      </c>
      <c r="M20" s="12">
        <f>'00-BUDGET'!D$16*L20</f>
        <v>22395.088823129707</v>
      </c>
      <c r="N20" s="12">
        <f>'00-BUDGET'!F$16*L20</f>
        <v>36523.702804199995</v>
      </c>
      <c r="O20" s="12">
        <f>'00-BUDGET'!H$16*L20</f>
        <v>48230.881114986354</v>
      </c>
    </row>
    <row r="21" spans="1:15" x14ac:dyDescent="0.25">
      <c r="A21" s="26"/>
      <c r="B21" s="12" t="s">
        <v>84</v>
      </c>
      <c r="C21" s="12" t="s">
        <v>33</v>
      </c>
      <c r="D21" s="12" t="s">
        <v>87</v>
      </c>
      <c r="E21" s="12" t="s">
        <v>88</v>
      </c>
      <c r="F21" s="12">
        <v>9.6021640241071501E-2</v>
      </c>
      <c r="G21" s="12" t="str">
        <f t="shared" si="1"/>
        <v>ORISTANOSRP1 minori</v>
      </c>
      <c r="H21" s="28">
        <f t="shared" si="2"/>
        <v>1</v>
      </c>
      <c r="I21" s="28">
        <f t="shared" si="3"/>
        <v>2</v>
      </c>
      <c r="J21" s="12">
        <f t="shared" si="4"/>
        <v>0.5</v>
      </c>
      <c r="K21" s="12">
        <f t="shared" si="5"/>
        <v>0.29801082012053576</v>
      </c>
      <c r="L21" s="29">
        <f t="shared" si="6"/>
        <v>1.5995478858367825E-2</v>
      </c>
      <c r="M21" s="12">
        <f>'00-BUDGET'!D$16*L21</f>
        <v>14600.642177325692</v>
      </c>
      <c r="N21" s="12">
        <f>'00-BUDGET'!F$16*L21</f>
        <v>23811.895538648143</v>
      </c>
      <c r="O21" s="12">
        <f>'00-BUDGET'!H$16*L21</f>
        <v>31444.476180409227</v>
      </c>
    </row>
    <row r="22" spans="1:15" ht="31.5" x14ac:dyDescent="0.25">
      <c r="A22" s="26"/>
      <c r="B22" s="12" t="s">
        <v>84</v>
      </c>
      <c r="C22" s="12" t="s">
        <v>33</v>
      </c>
      <c r="D22" s="12" t="s">
        <v>89</v>
      </c>
      <c r="E22" s="27" t="s">
        <v>69</v>
      </c>
      <c r="F22" s="12">
        <v>9.6021640241071501E-2</v>
      </c>
      <c r="G22" s="12" t="str">
        <f t="shared" si="1"/>
        <v>ORISTANO
SRP2 minori</v>
      </c>
      <c r="H22" s="28">
        <f t="shared" si="2"/>
        <v>1</v>
      </c>
      <c r="I22" s="28">
        <f t="shared" si="3"/>
        <v>2</v>
      </c>
      <c r="J22" s="12">
        <f t="shared" si="4"/>
        <v>0.5</v>
      </c>
      <c r="K22" s="12">
        <f t="shared" si="5"/>
        <v>0.29801082012053576</v>
      </c>
      <c r="L22" s="29">
        <f t="shared" si="6"/>
        <v>1.5995478858367825E-2</v>
      </c>
      <c r="M22" s="12">
        <f>'00-BUDGET'!D$16*L22</f>
        <v>14600.642177325692</v>
      </c>
      <c r="N22" s="12">
        <f>'00-BUDGET'!F$16*L22</f>
        <v>23811.895538648143</v>
      </c>
      <c r="O22" s="12">
        <f>'00-BUDGET'!H$16*L22</f>
        <v>31444.476180409227</v>
      </c>
    </row>
    <row r="23" spans="1:15" x14ac:dyDescent="0.25">
      <c r="A23" s="26"/>
      <c r="B23" s="12" t="s">
        <v>82</v>
      </c>
      <c r="C23" s="12" t="s">
        <v>46</v>
      </c>
      <c r="D23" s="12" t="s">
        <v>90</v>
      </c>
      <c r="E23" s="12" t="s">
        <v>5</v>
      </c>
      <c r="F23" s="12">
        <v>0.34343362439390401</v>
      </c>
      <c r="G23" s="12" t="str">
        <f t="shared" si="1"/>
        <v>CAGLIARISRP1 adulti</v>
      </c>
      <c r="H23" s="28">
        <f t="shared" si="2"/>
        <v>4</v>
      </c>
      <c r="I23" s="28">
        <f t="shared" si="3"/>
        <v>14</v>
      </c>
      <c r="J23" s="12">
        <f t="shared" si="4"/>
        <v>0.7142857142857143</v>
      </c>
      <c r="K23" s="12">
        <f t="shared" si="5"/>
        <v>0.5288596693398091</v>
      </c>
      <c r="L23" s="29">
        <f t="shared" si="6"/>
        <v>2.8386095701313042E-2</v>
      </c>
      <c r="M23" s="12">
        <f>'00-BUDGET'!D$16*L23</f>
        <v>25910.773276373522</v>
      </c>
      <c r="N23" s="12">
        <f>'00-BUDGET'!F$16*L23</f>
        <v>42257.362319361448</v>
      </c>
      <c r="O23" s="12">
        <f>'00-BUDGET'!H$16*L23</f>
        <v>55802.387539514653</v>
      </c>
    </row>
    <row r="24" spans="1:15" x14ac:dyDescent="0.25">
      <c r="A24" s="26"/>
      <c r="B24" s="12" t="s">
        <v>82</v>
      </c>
      <c r="C24" s="12" t="s">
        <v>45</v>
      </c>
      <c r="D24" s="12" t="s">
        <v>91</v>
      </c>
      <c r="E24" s="12" t="s">
        <v>5</v>
      </c>
      <c r="F24" s="12">
        <v>0.34343362439390401</v>
      </c>
      <c r="G24" s="12" t="str">
        <f t="shared" si="1"/>
        <v>CAGLIARISRP1 adulti</v>
      </c>
      <c r="H24" s="28">
        <f t="shared" si="2"/>
        <v>4</v>
      </c>
      <c r="I24" s="28">
        <f t="shared" si="3"/>
        <v>14</v>
      </c>
      <c r="J24" s="12">
        <f t="shared" si="4"/>
        <v>0.7142857142857143</v>
      </c>
      <c r="K24" s="12">
        <f t="shared" si="5"/>
        <v>0.5288596693398091</v>
      </c>
      <c r="L24" s="29">
        <f t="shared" si="6"/>
        <v>2.8386095701313042E-2</v>
      </c>
      <c r="M24" s="12">
        <f>'00-BUDGET'!D$16*L24</f>
        <v>25910.773276373522</v>
      </c>
      <c r="N24" s="12">
        <f>'00-BUDGET'!F$16*L24</f>
        <v>42257.362319361448</v>
      </c>
      <c r="O24" s="12">
        <f>'00-BUDGET'!H$16*L24</f>
        <v>55802.387539514653</v>
      </c>
    </row>
    <row r="25" spans="1:15" x14ac:dyDescent="0.25">
      <c r="A25" s="26"/>
      <c r="B25" s="12" t="s">
        <v>84</v>
      </c>
      <c r="C25" s="12" t="s">
        <v>39</v>
      </c>
      <c r="D25" s="12" t="s">
        <v>92</v>
      </c>
      <c r="E25" s="12" t="s">
        <v>5</v>
      </c>
      <c r="F25" s="12">
        <v>9.6021640241071501E-2</v>
      </c>
      <c r="G25" s="12" t="str">
        <f t="shared" si="1"/>
        <v>ORISTANOSRP1 adulti</v>
      </c>
      <c r="H25" s="28">
        <f t="shared" si="2"/>
        <v>3</v>
      </c>
      <c r="I25" s="28">
        <f t="shared" si="3"/>
        <v>14</v>
      </c>
      <c r="J25" s="12">
        <f t="shared" si="4"/>
        <v>0.7857142857142857</v>
      </c>
      <c r="K25" s="12">
        <f t="shared" si="5"/>
        <v>0.44086796297767861</v>
      </c>
      <c r="L25" s="29">
        <f t="shared" si="6"/>
        <v>2.366321524261731E-2</v>
      </c>
      <c r="M25" s="12">
        <f>'00-BUDGET'!D$16*L25</f>
        <v>21599.737124578278</v>
      </c>
      <c r="N25" s="12">
        <f>'00-BUDGET'!F$16*L25</f>
        <v>35226.579613837566</v>
      </c>
      <c r="O25" s="12">
        <f>'00-BUDGET'!H$16*L25</f>
        <v>46517.982652274412</v>
      </c>
    </row>
    <row r="26" spans="1:15" x14ac:dyDescent="0.25">
      <c r="A26" s="26"/>
      <c r="B26" s="12" t="s">
        <v>79</v>
      </c>
      <c r="C26" s="12" t="s">
        <v>34</v>
      </c>
      <c r="D26" s="12" t="s">
        <v>93</v>
      </c>
      <c r="E26" s="12" t="s">
        <v>7</v>
      </c>
      <c r="F26" s="12">
        <v>9.2430262319887796E-2</v>
      </c>
      <c r="G26" s="12" t="str">
        <f t="shared" si="1"/>
        <v>NUOROSRP2 adulti</v>
      </c>
      <c r="H26" s="28">
        <f t="shared" si="2"/>
        <v>1</v>
      </c>
      <c r="I26" s="28">
        <f t="shared" si="3"/>
        <v>11</v>
      </c>
      <c r="J26" s="12">
        <f t="shared" si="4"/>
        <v>0.90909090909090906</v>
      </c>
      <c r="K26" s="12">
        <f t="shared" si="5"/>
        <v>0.50076058570539839</v>
      </c>
      <c r="L26" s="29">
        <f t="shared" si="6"/>
        <v>2.6877901139679562E-2</v>
      </c>
      <c r="M26" s="12">
        <f>'00-BUDGET'!D$16*L26</f>
        <v>24534.096196357299</v>
      </c>
      <c r="N26" s="12">
        <f>'00-BUDGET'!F$16*L26</f>
        <v>40012.167181937584</v>
      </c>
      <c r="O26" s="12">
        <f>'00-BUDGET'!H$16*L26</f>
        <v>52837.525506397258</v>
      </c>
    </row>
    <row r="27" spans="1:15" x14ac:dyDescent="0.25">
      <c r="A27" s="26"/>
      <c r="B27" s="12" t="s">
        <v>82</v>
      </c>
      <c r="C27" s="12" t="s">
        <v>36</v>
      </c>
      <c r="D27" s="12" t="s">
        <v>94</v>
      </c>
      <c r="E27" s="12" t="s">
        <v>5</v>
      </c>
      <c r="F27" s="12">
        <v>0.34343362439390401</v>
      </c>
      <c r="G27" s="12" t="str">
        <f t="shared" si="1"/>
        <v>CAGLIARISRP1 adulti</v>
      </c>
      <c r="H27" s="28">
        <f t="shared" si="2"/>
        <v>4</v>
      </c>
      <c r="I27" s="28">
        <f t="shared" si="3"/>
        <v>14</v>
      </c>
      <c r="J27" s="12">
        <f t="shared" si="4"/>
        <v>0.7142857142857143</v>
      </c>
      <c r="K27" s="12">
        <f t="shared" si="5"/>
        <v>0.5288596693398091</v>
      </c>
      <c r="L27" s="29">
        <f t="shared" si="6"/>
        <v>2.8386095701313042E-2</v>
      </c>
      <c r="M27" s="12">
        <f>'00-BUDGET'!D$16*L27</f>
        <v>25910.773276373522</v>
      </c>
      <c r="N27" s="12">
        <f>'00-BUDGET'!F$16*L27</f>
        <v>42257.362319361448</v>
      </c>
      <c r="O27" s="12">
        <f>'00-BUDGET'!H$16*L27</f>
        <v>55802.387539514653</v>
      </c>
    </row>
    <row r="28" spans="1:15" x14ac:dyDescent="0.25">
      <c r="A28" s="26"/>
      <c r="B28" s="12" t="s">
        <v>95</v>
      </c>
      <c r="C28" s="12" t="s">
        <v>10</v>
      </c>
      <c r="D28" s="12" t="s">
        <v>96</v>
      </c>
      <c r="E28" s="12" t="s">
        <v>5</v>
      </c>
      <c r="F28" s="12">
        <v>0.20051177607843701</v>
      </c>
      <c r="G28" s="12" t="str">
        <f t="shared" si="1"/>
        <v>SASSARISRP1 adulti</v>
      </c>
      <c r="H28" s="28">
        <f t="shared" si="2"/>
        <v>1</v>
      </c>
      <c r="I28" s="28">
        <f t="shared" si="3"/>
        <v>14</v>
      </c>
      <c r="J28" s="12">
        <f t="shared" si="4"/>
        <v>0.9285714285714286</v>
      </c>
      <c r="K28" s="12">
        <f t="shared" si="5"/>
        <v>0.56454160232493278</v>
      </c>
      <c r="L28" s="29">
        <f t="shared" si="6"/>
        <v>3.0301293291985734E-2</v>
      </c>
      <c r="M28" s="12">
        <f>'00-BUDGET'!D$16*L28</f>
        <v>27658.961934424213</v>
      </c>
      <c r="N28" s="12">
        <f>'00-BUDGET'!F$16*L28</f>
        <v>45108.448264882318</v>
      </c>
      <c r="O28" s="12">
        <f>'00-BUDGET'!H$16*L28</f>
        <v>59567.350473974097</v>
      </c>
    </row>
    <row r="29" spans="1:15" x14ac:dyDescent="0.25">
      <c r="A29" s="26"/>
      <c r="B29" s="12" t="s">
        <v>95</v>
      </c>
      <c r="C29" s="12" t="s">
        <v>10</v>
      </c>
      <c r="D29" s="12" t="s">
        <v>96</v>
      </c>
      <c r="E29" s="12" t="s">
        <v>7</v>
      </c>
      <c r="F29" s="12">
        <v>0.20051177607843701</v>
      </c>
      <c r="G29" s="12" t="str">
        <f t="shared" si="1"/>
        <v>SASSARISRP2 adulti</v>
      </c>
      <c r="H29" s="28">
        <f t="shared" si="2"/>
        <v>1</v>
      </c>
      <c r="I29" s="28">
        <f t="shared" si="3"/>
        <v>11</v>
      </c>
      <c r="J29" s="12">
        <f t="shared" si="4"/>
        <v>0.90909090909090906</v>
      </c>
      <c r="K29" s="12">
        <f t="shared" si="5"/>
        <v>0.55480134258467306</v>
      </c>
      <c r="L29" s="29">
        <f t="shared" si="6"/>
        <v>2.9778493083968727E-2</v>
      </c>
      <c r="M29" s="12">
        <f>'00-BUDGET'!D$16*L29</f>
        <v>27181.75091529336</v>
      </c>
      <c r="N29" s="12">
        <f>'00-BUDGET'!F$16*L29</f>
        <v>44330.174350664864</v>
      </c>
      <c r="O29" s="12">
        <f>'00-BUDGET'!H$16*L29</f>
        <v>58539.611396346932</v>
      </c>
    </row>
    <row r="30" spans="1:15" x14ac:dyDescent="0.25">
      <c r="A30" s="26"/>
      <c r="B30" s="12" t="s">
        <v>95</v>
      </c>
      <c r="C30" s="12" t="s">
        <v>10</v>
      </c>
      <c r="D30" s="12" t="s">
        <v>96</v>
      </c>
      <c r="E30" s="12" t="s">
        <v>11</v>
      </c>
      <c r="F30" s="12">
        <v>0.20051177607843701</v>
      </c>
      <c r="G30" s="12" t="str">
        <f t="shared" si="1"/>
        <v>SASSARISRP3 adulti</v>
      </c>
      <c r="H30" s="28">
        <f t="shared" si="2"/>
        <v>1</v>
      </c>
      <c r="I30" s="28">
        <f t="shared" si="3"/>
        <v>2</v>
      </c>
      <c r="J30" s="12">
        <f t="shared" si="4"/>
        <v>0.5</v>
      </c>
      <c r="K30" s="12">
        <f t="shared" si="5"/>
        <v>0.35025588803921848</v>
      </c>
      <c r="L30" s="29">
        <f t="shared" si="6"/>
        <v>1.8799688715611506E-2</v>
      </c>
      <c r="M30" s="12">
        <f>'00-BUDGET'!D$16*L30</f>
        <v>17160.319513545332</v>
      </c>
      <c r="N30" s="12">
        <f>'00-BUDGET'!F$16*L30</f>
        <v>27986.422152098181</v>
      </c>
      <c r="O30" s="12">
        <f>'00-BUDGET'!H$16*L30</f>
        <v>36957.090766176327</v>
      </c>
    </row>
    <row r="31" spans="1:15" x14ac:dyDescent="0.25">
      <c r="A31" s="26"/>
      <c r="B31" s="12" t="s">
        <v>82</v>
      </c>
      <c r="C31" s="12" t="s">
        <v>49</v>
      </c>
      <c r="D31" s="12" t="s">
        <v>97</v>
      </c>
      <c r="E31" s="12" t="s">
        <v>7</v>
      </c>
      <c r="F31" s="12">
        <v>0.34343362439390401</v>
      </c>
      <c r="G31" s="12" t="str">
        <f t="shared" si="1"/>
        <v>CAGLIARISRP2 adulti</v>
      </c>
      <c r="H31" s="28">
        <f t="shared" si="2"/>
        <v>2</v>
      </c>
      <c r="I31" s="28">
        <f t="shared" si="3"/>
        <v>11</v>
      </c>
      <c r="J31" s="12">
        <f t="shared" si="4"/>
        <v>0.81818181818181812</v>
      </c>
      <c r="K31" s="12">
        <f t="shared" si="5"/>
        <v>0.58080772128786107</v>
      </c>
      <c r="L31" s="29">
        <f t="shared" si="6"/>
        <v>3.1174363477403766E-2</v>
      </c>
      <c r="M31" s="12">
        <f>'00-BUDGET'!D$16*L31</f>
        <v>28455.8987117381</v>
      </c>
      <c r="N31" s="12">
        <f>'00-BUDGET'!F$16*L31</f>
        <v>46408.156528521242</v>
      </c>
      <c r="O31" s="12">
        <f>'00-BUDGET'!H$16*L31</f>
        <v>61283.662620192903</v>
      </c>
    </row>
    <row r="32" spans="1:15" x14ac:dyDescent="0.25">
      <c r="A32" s="26"/>
      <c r="B32" s="12" t="s">
        <v>82</v>
      </c>
      <c r="C32" s="12" t="s">
        <v>49</v>
      </c>
      <c r="D32" s="12" t="s">
        <v>97</v>
      </c>
      <c r="E32" s="12" t="s">
        <v>98</v>
      </c>
      <c r="F32" s="12">
        <v>0.34343362439390401</v>
      </c>
      <c r="G32" s="12" t="str">
        <f t="shared" si="1"/>
        <v>CAGLIARICENTRO DIURNO</v>
      </c>
      <c r="H32" s="28">
        <f t="shared" si="2"/>
        <v>1</v>
      </c>
      <c r="I32" s="28">
        <f t="shared" si="3"/>
        <v>1</v>
      </c>
      <c r="J32" s="12">
        <f t="shared" si="4"/>
        <v>1</v>
      </c>
      <c r="K32" s="12">
        <f t="shared" si="5"/>
        <v>0.67171681219695201</v>
      </c>
      <c r="L32" s="29">
        <f t="shared" si="6"/>
        <v>3.605383208556253E-2</v>
      </c>
      <c r="M32" s="12">
        <f>'00-BUDGET'!D$16*L32</f>
        <v>32909.868223626108</v>
      </c>
      <c r="N32" s="12">
        <f>'00-BUDGET'!F$16*L32</f>
        <v>53672.046394550875</v>
      </c>
      <c r="O32" s="12">
        <f>'00-BUDGET'!H$16*L32</f>
        <v>70875.894011379831</v>
      </c>
    </row>
    <row r="33" spans="1:15" x14ac:dyDescent="0.25">
      <c r="A33" s="26"/>
      <c r="B33" s="12" t="s">
        <v>82</v>
      </c>
      <c r="C33" s="12" t="s">
        <v>32</v>
      </c>
      <c r="D33" s="12" t="s">
        <v>32</v>
      </c>
      <c r="E33" s="12" t="s">
        <v>88</v>
      </c>
      <c r="F33" s="12">
        <v>0.34343362439390401</v>
      </c>
      <c r="G33" s="12" t="str">
        <f t="shared" si="1"/>
        <v>CAGLIARISRP1 minori</v>
      </c>
      <c r="H33" s="28">
        <f t="shared" si="2"/>
        <v>1</v>
      </c>
      <c r="I33" s="28">
        <f t="shared" si="3"/>
        <v>2</v>
      </c>
      <c r="J33" s="12">
        <f t="shared" si="4"/>
        <v>0.5</v>
      </c>
      <c r="K33" s="12">
        <f t="shared" si="5"/>
        <v>0.42171681219695201</v>
      </c>
      <c r="L33" s="29">
        <f t="shared" si="6"/>
        <v>2.263529341312593E-2</v>
      </c>
      <c r="M33" s="12">
        <f>'00-BUDGET'!D$16*L33</f>
        <v>20661.452065934081</v>
      </c>
      <c r="N33" s="12">
        <f>'00-BUDGET'!F$16*L33</f>
        <v>33696.349262969379</v>
      </c>
      <c r="O33" s="12">
        <f>'00-BUDGET'!H$16*L33</f>
        <v>44497.257685615768</v>
      </c>
    </row>
    <row r="34" spans="1:15" ht="47.25" x14ac:dyDescent="0.25">
      <c r="A34" s="26"/>
      <c r="B34" s="12" t="s">
        <v>95</v>
      </c>
      <c r="C34" s="12" t="s">
        <v>40</v>
      </c>
      <c r="D34" s="12" t="s">
        <v>99</v>
      </c>
      <c r="E34" s="27" t="s">
        <v>100</v>
      </c>
      <c r="F34" s="12">
        <v>0.20051177607843701</v>
      </c>
      <c r="G34" s="12" t="str">
        <f t="shared" si="1"/>
        <v xml:space="preserve">SASSARIAUTISMO 
RESIDENZIALE 
 </v>
      </c>
      <c r="H34" s="28">
        <f t="shared" si="2"/>
        <v>1</v>
      </c>
      <c r="I34" s="28">
        <f t="shared" si="3"/>
        <v>3</v>
      </c>
      <c r="J34" s="12">
        <f t="shared" si="4"/>
        <v>0.66666666666666674</v>
      </c>
      <c r="K34" s="12">
        <f t="shared" si="5"/>
        <v>0.43358922137255185</v>
      </c>
      <c r="L34" s="29">
        <f t="shared" si="6"/>
        <v>2.3272534939757041E-2</v>
      </c>
      <c r="M34" s="12">
        <f>'00-BUDGET'!D$16*L34</f>
        <v>21243.124899442675</v>
      </c>
      <c r="N34" s="12">
        <f>'00-BUDGET'!F$16*L34</f>
        <v>34644.987862625348</v>
      </c>
      <c r="O34" s="12">
        <f>'00-BUDGET'!H$16*L34</f>
        <v>45749.969541431019</v>
      </c>
    </row>
    <row r="35" spans="1:15" ht="31.5" x14ac:dyDescent="0.25">
      <c r="A35" s="26"/>
      <c r="B35" s="12" t="s">
        <v>95</v>
      </c>
      <c r="C35" s="12" t="s">
        <v>40</v>
      </c>
      <c r="D35" s="12" t="s">
        <v>99</v>
      </c>
      <c r="E35" s="27" t="s">
        <v>101</v>
      </c>
      <c r="F35" s="12">
        <v>0.20051177607843701</v>
      </c>
      <c r="G35" s="12" t="str">
        <f t="shared" si="1"/>
        <v xml:space="preserve">SASSARIAUTISMO 
SEMIRESIDENZIALE </v>
      </c>
      <c r="H35" s="28">
        <f t="shared" si="2"/>
        <v>2</v>
      </c>
      <c r="I35" s="28">
        <f t="shared" si="3"/>
        <v>4</v>
      </c>
      <c r="J35" s="12">
        <f t="shared" si="4"/>
        <v>0.5</v>
      </c>
      <c r="K35" s="12">
        <f t="shared" si="5"/>
        <v>0.35025588803921848</v>
      </c>
      <c r="L35" s="29">
        <f t="shared" si="6"/>
        <v>1.8799688715611506E-2</v>
      </c>
      <c r="M35" s="12">
        <f>'00-BUDGET'!D$16*L35</f>
        <v>17160.319513545332</v>
      </c>
      <c r="N35" s="12">
        <f>'00-BUDGET'!F$16*L35</f>
        <v>27986.422152098181</v>
      </c>
      <c r="O35" s="12">
        <f>'00-BUDGET'!H$16*L35</f>
        <v>36957.090766176327</v>
      </c>
    </row>
    <row r="36" spans="1:15" ht="47.25" x14ac:dyDescent="0.25">
      <c r="A36" s="26"/>
      <c r="B36" s="12" t="s">
        <v>82</v>
      </c>
      <c r="C36" s="12" t="s">
        <v>42</v>
      </c>
      <c r="D36" s="12" t="s">
        <v>102</v>
      </c>
      <c r="E36" s="27" t="s">
        <v>100</v>
      </c>
      <c r="F36" s="12">
        <v>0.34343362439390401</v>
      </c>
      <c r="G36" s="12" t="str">
        <f t="shared" si="1"/>
        <v xml:space="preserve">CAGLIARIAUTISMO 
RESIDENZIALE 
 </v>
      </c>
      <c r="H36" s="28">
        <f t="shared" si="2"/>
        <v>1</v>
      </c>
      <c r="I36" s="28">
        <f t="shared" si="3"/>
        <v>3</v>
      </c>
      <c r="J36" s="12">
        <f t="shared" si="4"/>
        <v>0.66666666666666674</v>
      </c>
      <c r="K36" s="12">
        <f t="shared" si="5"/>
        <v>0.50505014553028538</v>
      </c>
      <c r="L36" s="29">
        <f t="shared" si="6"/>
        <v>2.7108139637271468E-2</v>
      </c>
      <c r="M36" s="12">
        <f>'00-BUDGET'!D$16*L36</f>
        <v>24744.257451831429</v>
      </c>
      <c r="N36" s="12">
        <f>'00-BUDGET'!F$16*L36</f>
        <v>40354.914973496554</v>
      </c>
      <c r="O36" s="12">
        <f>'00-BUDGET'!H$16*L36</f>
        <v>53290.136460870468</v>
      </c>
    </row>
    <row r="37" spans="1:15" ht="31.5" x14ac:dyDescent="0.25">
      <c r="A37" s="26"/>
      <c r="B37" s="12" t="s">
        <v>82</v>
      </c>
      <c r="C37" s="12" t="s">
        <v>42</v>
      </c>
      <c r="D37" s="12" t="s">
        <v>102</v>
      </c>
      <c r="E37" s="27" t="s">
        <v>101</v>
      </c>
      <c r="F37" s="12">
        <v>0.34343362439390401</v>
      </c>
      <c r="G37" s="12" t="str">
        <f t="shared" si="1"/>
        <v xml:space="preserve">CAGLIARIAUTISMO 
SEMIRESIDENZIALE </v>
      </c>
      <c r="H37" s="28">
        <f t="shared" si="2"/>
        <v>1</v>
      </c>
      <c r="I37" s="28">
        <f t="shared" si="3"/>
        <v>4</v>
      </c>
      <c r="J37" s="12">
        <f t="shared" si="4"/>
        <v>0.75</v>
      </c>
      <c r="K37" s="12">
        <f t="shared" si="5"/>
        <v>0.54671681219695201</v>
      </c>
      <c r="L37" s="29">
        <f t="shared" si="6"/>
        <v>2.934456274934423E-2</v>
      </c>
      <c r="M37" s="12">
        <f>'00-BUDGET'!D$16*L37</f>
        <v>26785.660144780097</v>
      </c>
      <c r="N37" s="12">
        <f>'00-BUDGET'!F$16*L37</f>
        <v>43684.197828760131</v>
      </c>
      <c r="O37" s="12">
        <f>'00-BUDGET'!H$16*L37</f>
        <v>57686.5758484978</v>
      </c>
    </row>
    <row r="38" spans="1:15" ht="47.25" x14ac:dyDescent="0.25">
      <c r="A38" s="26"/>
      <c r="B38" s="12" t="s">
        <v>71</v>
      </c>
      <c r="C38" s="12" t="s">
        <v>50</v>
      </c>
      <c r="D38" s="12" t="s">
        <v>103</v>
      </c>
      <c r="E38" s="27" t="s">
        <v>100</v>
      </c>
      <c r="F38" s="12">
        <v>5.8371702890174099E-2</v>
      </c>
      <c r="G38" s="12" t="str">
        <f t="shared" si="1"/>
        <v xml:space="preserve">MEDIO CAMPIDANOAUTISMO 
RESIDENZIALE 
 </v>
      </c>
      <c r="H38" s="28">
        <f t="shared" si="2"/>
        <v>1</v>
      </c>
      <c r="I38" s="28">
        <f t="shared" si="3"/>
        <v>3</v>
      </c>
      <c r="J38" s="12">
        <f t="shared" si="4"/>
        <v>0.66666666666666674</v>
      </c>
      <c r="K38" s="12">
        <f t="shared" si="5"/>
        <v>0.36251918477842043</v>
      </c>
      <c r="L38" s="29">
        <f t="shared" si="6"/>
        <v>1.9457910801797696E-2</v>
      </c>
      <c r="M38" s="12">
        <f>'00-BUDGET'!D$16*L38</f>
        <v>17761.143361253387</v>
      </c>
      <c r="N38" s="12">
        <f>'00-BUDGET'!F$16*L38</f>
        <v>28966.29375808622</v>
      </c>
      <c r="O38" s="12">
        <f>'00-BUDGET'!H$16*L38</f>
        <v>38251.046945529677</v>
      </c>
    </row>
    <row r="39" spans="1:15" ht="31.5" x14ac:dyDescent="0.25">
      <c r="A39" s="26"/>
      <c r="B39" s="12" t="s">
        <v>71</v>
      </c>
      <c r="C39" s="12" t="s">
        <v>50</v>
      </c>
      <c r="D39" s="12" t="s">
        <v>103</v>
      </c>
      <c r="E39" s="27" t="s">
        <v>101</v>
      </c>
      <c r="F39" s="12">
        <v>5.8371702890174099E-2</v>
      </c>
      <c r="G39" s="12" t="str">
        <f t="shared" si="1"/>
        <v xml:space="preserve">MEDIO CAMPIDANOAUTISMO 
SEMIRESIDENZIALE </v>
      </c>
      <c r="H39" s="28">
        <f t="shared" si="2"/>
        <v>1</v>
      </c>
      <c r="I39" s="28">
        <f t="shared" si="3"/>
        <v>4</v>
      </c>
      <c r="J39" s="12">
        <f t="shared" si="4"/>
        <v>0.75</v>
      </c>
      <c r="K39" s="12">
        <f t="shared" si="5"/>
        <v>0.40418585144508706</v>
      </c>
      <c r="L39" s="29">
        <f t="shared" si="6"/>
        <v>2.1694333913870462E-2</v>
      </c>
      <c r="M39" s="12">
        <f>'00-BUDGET'!D$16*L39</f>
        <v>19802.546054202056</v>
      </c>
      <c r="N39" s="12">
        <f>'00-BUDGET'!F$16*L39</f>
        <v>32295.5766133498</v>
      </c>
      <c r="O39" s="12">
        <f>'00-BUDGET'!H$16*L39</f>
        <v>42647.486333157016</v>
      </c>
    </row>
    <row r="40" spans="1:15" ht="31.5" x14ac:dyDescent="0.25">
      <c r="A40" s="26"/>
      <c r="B40" s="12" t="s">
        <v>95</v>
      </c>
      <c r="C40" s="12" t="s">
        <v>48</v>
      </c>
      <c r="D40" s="12" t="s">
        <v>104</v>
      </c>
      <c r="E40" s="27" t="s">
        <v>101</v>
      </c>
      <c r="F40" s="12">
        <v>0.20051177607843701</v>
      </c>
      <c r="G40" s="12" t="str">
        <f t="shared" si="1"/>
        <v xml:space="preserve">SASSARIAUTISMO 
SEMIRESIDENZIALE </v>
      </c>
      <c r="H40" s="28">
        <f t="shared" si="2"/>
        <v>2</v>
      </c>
      <c r="I40" s="28">
        <f t="shared" si="3"/>
        <v>4</v>
      </c>
      <c r="J40" s="12">
        <f t="shared" si="4"/>
        <v>0.5</v>
      </c>
      <c r="K40" s="12">
        <f t="shared" si="5"/>
        <v>0.35025588803921848</v>
      </c>
      <c r="L40" s="29">
        <f t="shared" si="6"/>
        <v>1.8799688715611506E-2</v>
      </c>
      <c r="M40" s="12">
        <f>'00-BUDGET'!D$16*L40</f>
        <v>17160.319513545332</v>
      </c>
      <c r="N40" s="12">
        <f>'00-BUDGET'!F$16*L40</f>
        <v>27986.422152098181</v>
      </c>
      <c r="O40" s="12">
        <f>'00-BUDGET'!H$16*L40</f>
        <v>36957.090766176327</v>
      </c>
    </row>
    <row r="41" spans="1:15" x14ac:dyDescent="0.25">
      <c r="A41" s="26"/>
      <c r="B41" s="12" t="s">
        <v>67</v>
      </c>
      <c r="C41" s="12" t="s">
        <v>47</v>
      </c>
      <c r="D41" s="12" t="s">
        <v>105</v>
      </c>
      <c r="E41" s="12" t="s">
        <v>106</v>
      </c>
      <c r="F41" s="12">
        <v>7.5018914422396707E-2</v>
      </c>
      <c r="G41" s="12" t="str">
        <f t="shared" si="1"/>
        <v xml:space="preserve">SULCISDisturbi comportamento alimentare - SEMIRESIDENZIALE </v>
      </c>
      <c r="H41" s="28">
        <f t="shared" si="2"/>
        <v>1</v>
      </c>
      <c r="I41" s="28">
        <f t="shared" si="3"/>
        <v>1</v>
      </c>
      <c r="J41" s="12">
        <f t="shared" si="4"/>
        <v>1</v>
      </c>
      <c r="K41" s="12">
        <f t="shared" si="5"/>
        <v>0.53750945721119836</v>
      </c>
      <c r="L41" s="29">
        <f t="shared" si="6"/>
        <v>2.8850365753555481E-2</v>
      </c>
      <c r="M41" s="12">
        <f>'00-BUDGET'!D$16*L41</f>
        <v>26334.558082471653</v>
      </c>
      <c r="N41" s="12">
        <f>'00-BUDGET'!F$16*L41</f>
        <v>42948.504490446641</v>
      </c>
      <c r="O41" s="12">
        <f>'00-BUDGET'!H$16*L41</f>
        <v>56715.065973732177</v>
      </c>
    </row>
    <row r="42" spans="1:15" x14ac:dyDescent="0.25">
      <c r="B42" s="12" t="s">
        <v>67</v>
      </c>
      <c r="C42" s="12" t="s">
        <v>47</v>
      </c>
      <c r="D42" s="12" t="s">
        <v>105</v>
      </c>
      <c r="E42" s="12" t="s">
        <v>107</v>
      </c>
      <c r="F42" s="12">
        <v>7.5018914422396707E-2</v>
      </c>
      <c r="G42" s="12" t="str">
        <f t="shared" si="1"/>
        <v xml:space="preserve">SULCISDisturbi comportamento alimentare - RESIDENZIALE </v>
      </c>
      <c r="H42" s="28">
        <f t="shared" si="2"/>
        <v>1</v>
      </c>
      <c r="I42" s="28">
        <f t="shared" si="3"/>
        <v>1</v>
      </c>
      <c r="J42" s="12">
        <f t="shared" si="4"/>
        <v>1</v>
      </c>
      <c r="K42" s="12">
        <f t="shared" si="5"/>
        <v>0.53750945721119836</v>
      </c>
      <c r="L42" s="29">
        <f t="shared" si="6"/>
        <v>2.8850365753555481E-2</v>
      </c>
      <c r="M42" s="12">
        <f>'00-BUDGET'!D$16*L42</f>
        <v>26334.558082471653</v>
      </c>
      <c r="N42" s="12">
        <f>'00-BUDGET'!F$16*L42</f>
        <v>42948.504490446641</v>
      </c>
      <c r="O42" s="12">
        <f>'00-BUDGET'!H$16*L42</f>
        <v>56715.065973732177</v>
      </c>
    </row>
  </sheetData>
  <autoFilter ref="A1:O42"/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2"/>
  <sheetViews>
    <sheetView topLeftCell="B4" zoomScale="85" zoomScaleNormal="85" workbookViewId="0">
      <selection activeCell="B1" sqref="B1"/>
    </sheetView>
  </sheetViews>
  <sheetFormatPr defaultColWidth="8.625" defaultRowHeight="15.75" x14ac:dyDescent="0.25"/>
  <cols>
    <col min="1" max="1" width="9.125" style="1" hidden="1" customWidth="1"/>
    <col min="2" max="2" width="48.5" style="1" customWidth="1"/>
    <col min="3" max="3" width="18.5" style="1" customWidth="1"/>
    <col min="4" max="4" width="15.375" style="1" customWidth="1"/>
    <col min="5" max="5" width="16.5" style="1" customWidth="1"/>
    <col min="16380" max="16384" width="10.5" style="1" customWidth="1"/>
  </cols>
  <sheetData>
    <row r="1" spans="1:5" ht="72" x14ac:dyDescent="0.25">
      <c r="A1" s="1" t="s">
        <v>27</v>
      </c>
      <c r="B1" s="19" t="s">
        <v>0</v>
      </c>
      <c r="C1" s="19" t="s">
        <v>64</v>
      </c>
      <c r="D1" s="19" t="s">
        <v>65</v>
      </c>
      <c r="E1" s="19" t="s">
        <v>66</v>
      </c>
    </row>
    <row r="2" spans="1:5" x14ac:dyDescent="0.25">
      <c r="A2" s="1" t="e">
        <f>CONCATENATE(B2,#REF!)</f>
        <v>#REF!</v>
      </c>
      <c r="B2" s="4" t="s">
        <v>32</v>
      </c>
      <c r="C2" s="20">
        <f>SUMIF('03-CAPILLARIZZAZIONE calc'!C$2:C$42,B2,'03-CAPILLARIZZAZIONE calc'!M$2:M$42)</f>
        <v>20661.452065934081</v>
      </c>
      <c r="D2" s="20">
        <f>SUMIF('03-CAPILLARIZZAZIONE calc'!C$2:C$42,B2,'03-CAPILLARIZZAZIONE calc'!N$2:N$42)</f>
        <v>33696.349262969379</v>
      </c>
      <c r="E2" s="20">
        <f>SUMIF('03-CAPILLARIZZAZIONE calc'!C$2:C$42,B2,'03-CAPILLARIZZAZIONE calc'!O$2:O$42)</f>
        <v>44497.257685615768</v>
      </c>
    </row>
    <row r="3" spans="1:5" x14ac:dyDescent="0.25">
      <c r="A3" s="1" t="e">
        <f>CONCATENATE(B3,#REF!)</f>
        <v>#REF!</v>
      </c>
      <c r="B3" s="4" t="s">
        <v>10</v>
      </c>
      <c r="C3" s="20">
        <f>SUMIF('03-CAPILLARIZZAZIONE calc'!C$2:C$42,B3,'03-CAPILLARIZZAZIONE calc'!M$2:M$42)</f>
        <v>72001.032363262901</v>
      </c>
      <c r="D3" s="20">
        <f>SUMIF('03-CAPILLARIZZAZIONE calc'!C$2:C$42,B3,'03-CAPILLARIZZAZIONE calc'!N$2:N$42)</f>
        <v>117425.04476764536</v>
      </c>
      <c r="E3" s="20">
        <f>SUMIF('03-CAPILLARIZZAZIONE calc'!C$2:C$42,B3,'03-CAPILLARIZZAZIONE calc'!O$2:O$42)</f>
        <v>155064.05263649736</v>
      </c>
    </row>
    <row r="4" spans="1:5" x14ac:dyDescent="0.25">
      <c r="A4" s="1" t="e">
        <f>CONCATENATE(B4,#REF!)</f>
        <v>#REF!</v>
      </c>
      <c r="B4" s="4" t="s">
        <v>33</v>
      </c>
      <c r="C4" s="20">
        <f>SUMIF('03-CAPILLARIZZAZIONE calc'!C$2:C$42,B4,'03-CAPILLARIZZAZIONE calc'!M$2:M$42)</f>
        <v>29201.284354651383</v>
      </c>
      <c r="D4" s="20">
        <f>SUMIF('03-CAPILLARIZZAZIONE calc'!C$2:C$42,B4,'03-CAPILLARIZZAZIONE calc'!N$2:N$42)</f>
        <v>47623.791077296286</v>
      </c>
      <c r="E4" s="20">
        <f>SUMIF('03-CAPILLARIZZAZIONE calc'!C$2:C$42,B4,'03-CAPILLARIZZAZIONE calc'!O$2:O$42)</f>
        <v>62888.952360818454</v>
      </c>
    </row>
    <row r="5" spans="1:5" ht="26.85" customHeight="1" x14ac:dyDescent="0.25">
      <c r="A5" s="1" t="e">
        <f>CONCATENATE(B5,#REF!)</f>
        <v>#REF!</v>
      </c>
      <c r="B5" s="4" t="s">
        <v>34</v>
      </c>
      <c r="C5" s="20">
        <f>SUMIF('03-CAPILLARIZZAZIONE calc'!C$2:C$42,B5,'03-CAPILLARIZZAZIONE calc'!M$2:M$42)</f>
        <v>24534.096196357299</v>
      </c>
      <c r="D5" s="20">
        <f>SUMIF('03-CAPILLARIZZAZIONE calc'!C$2:C$42,B5,'03-CAPILLARIZZAZIONE calc'!N$2:N$42)</f>
        <v>40012.167181937584</v>
      </c>
      <c r="E5" s="20">
        <f>SUMIF('03-CAPILLARIZZAZIONE calc'!C$2:C$42,B5,'03-CAPILLARIZZAZIONE calc'!O$2:O$42)</f>
        <v>52837.525506397258</v>
      </c>
    </row>
    <row r="6" spans="1:5" x14ac:dyDescent="0.25">
      <c r="A6" s="1" t="e">
        <f>CONCATENATE(B6,#REF!)</f>
        <v>#REF!</v>
      </c>
      <c r="B6" s="4" t="s">
        <v>35</v>
      </c>
      <c r="C6" s="20">
        <f>SUMIF('03-CAPILLARIZZAZIONE calc'!C$2:C$42,B6,'03-CAPILLARIZZAZIONE calc'!M$2:M$42)</f>
        <v>25011.307215488163</v>
      </c>
      <c r="D6" s="20">
        <f>SUMIF('03-CAPILLARIZZAZIONE calc'!C$2:C$42,B6,'03-CAPILLARIZZAZIONE calc'!N$2:N$42)</f>
        <v>40790.441096155053</v>
      </c>
      <c r="E6" s="20">
        <f>SUMIF('03-CAPILLARIZZAZIONE calc'!C$2:C$42,B6,'03-CAPILLARIZZAZIONE calc'!O$2:O$42)</f>
        <v>53865.264584024437</v>
      </c>
    </row>
    <row r="7" spans="1:5" x14ac:dyDescent="0.25">
      <c r="A7" s="1" t="e">
        <f>CONCATENATE(B7,#REF!)</f>
        <v>#REF!</v>
      </c>
      <c r="B7" s="4" t="s">
        <v>36</v>
      </c>
      <c r="C7" s="20">
        <f>SUMIF('03-CAPILLARIZZAZIONE calc'!C$2:C$42,B7,'03-CAPILLARIZZAZIONE calc'!M$2:M$42)</f>
        <v>25910.773276373522</v>
      </c>
      <c r="D7" s="20">
        <f>SUMIF('03-CAPILLARIZZAZIONE calc'!C$2:C$42,B7,'03-CAPILLARIZZAZIONE calc'!N$2:N$42)</f>
        <v>42257.362319361448</v>
      </c>
      <c r="E7" s="20">
        <f>SUMIF('03-CAPILLARIZZAZIONE calc'!C$2:C$42,B7,'03-CAPILLARIZZAZIONE calc'!O$2:O$42)</f>
        <v>55802.387539514653</v>
      </c>
    </row>
    <row r="8" spans="1:5" ht="31.5" x14ac:dyDescent="0.25">
      <c r="A8" s="1" t="e">
        <f>CONCATENATE(B8,#REF!)</f>
        <v>#REF!</v>
      </c>
      <c r="B8" s="4" t="s">
        <v>37</v>
      </c>
      <c r="C8" s="20">
        <f>SUMIF('03-CAPILLARIZZAZIONE calc'!C$2:C$42,B8,'03-CAPILLARIZZAZIONE calc'!M$2:M$42)</f>
        <v>48692.357672186154</v>
      </c>
      <c r="D8" s="20">
        <f>SUMIF('03-CAPILLARIZZAZIONE calc'!C$2:C$42,B8,'03-CAPILLARIZZAZIONE calc'!N$2:N$42)</f>
        <v>79411.393029081111</v>
      </c>
      <c r="E8" s="20">
        <f>SUMIF('03-CAPILLARIZZAZIONE calc'!C$2:C$42,B8,'03-CAPILLARIZZAZIONE calc'!O$2:O$42)</f>
        <v>104865.63963390459</v>
      </c>
    </row>
    <row r="9" spans="1:5" x14ac:dyDescent="0.25">
      <c r="B9" s="4" t="s">
        <v>38</v>
      </c>
      <c r="C9" s="20">
        <f>SUMIF('03-CAPILLARIZZAZIONE calc'!C$2:C$42,B9,'03-CAPILLARIZZAZIONE calc'!M$2:M$42)</f>
        <v>116266.86829975418</v>
      </c>
      <c r="D9" s="20">
        <f>SUMIF('03-CAPILLARIZZAZIONE calc'!C$2:C$42,B9,'03-CAPILLARIZZAZIONE calc'!N$2:N$42)</f>
        <v>189617.31196035675</v>
      </c>
      <c r="E9" s="20">
        <f>SUMIF('03-CAPILLARIZZAZIONE calc'!C$2:C$42,B9,'03-CAPILLARIZZAZIONE calc'!O$2:O$42)</f>
        <v>250396.57341236447</v>
      </c>
    </row>
    <row r="10" spans="1:5" x14ac:dyDescent="0.25">
      <c r="B10" s="4" t="s">
        <v>39</v>
      </c>
      <c r="C10" s="20">
        <f>SUMIF('03-CAPILLARIZZAZIONE calc'!C$2:C$42,B10,'03-CAPILLARIZZAZIONE calc'!M$2:M$42)</f>
        <v>21599.737124578278</v>
      </c>
      <c r="D10" s="20">
        <f>SUMIF('03-CAPILLARIZZAZIONE calc'!C$2:C$42,B10,'03-CAPILLARIZZAZIONE calc'!N$2:N$42)</f>
        <v>35226.579613837566</v>
      </c>
      <c r="E10" s="20">
        <f>SUMIF('03-CAPILLARIZZAZIONE calc'!C$2:C$42,B10,'03-CAPILLARIZZAZIONE calc'!O$2:O$42)</f>
        <v>46517.982652274412</v>
      </c>
    </row>
    <row r="11" spans="1:5" ht="31.5" x14ac:dyDescent="0.25">
      <c r="B11" s="4" t="s">
        <v>40</v>
      </c>
      <c r="C11" s="20">
        <f>SUMIF('03-CAPILLARIZZAZIONE calc'!C$2:C$42,B11,'03-CAPILLARIZZAZIONE calc'!M$2:M$42)</f>
        <v>38403.444412988007</v>
      </c>
      <c r="D11" s="20">
        <f>SUMIF('03-CAPILLARIZZAZIONE calc'!C$2:C$42,B11,'03-CAPILLARIZZAZIONE calc'!N$2:N$42)</f>
        <v>62631.410014723529</v>
      </c>
      <c r="E11" s="20">
        <f>SUMIF('03-CAPILLARIZZAZIONE calc'!C$2:C$42,B11,'03-CAPILLARIZZAZIONE calc'!O$2:O$42)</f>
        <v>82707.060307607346</v>
      </c>
    </row>
    <row r="12" spans="1:5" x14ac:dyDescent="0.25">
      <c r="B12" s="4" t="s">
        <v>41</v>
      </c>
      <c r="C12" s="20">
        <f>SUMIF('03-CAPILLARIZZAZIONE calc'!C$2:C$42,B12,'03-CAPILLARIZZAZIONE calc'!M$2:M$42)</f>
        <v>47876.74977333899</v>
      </c>
      <c r="D12" s="20">
        <f>SUMIF('03-CAPILLARIZZAZIONE calc'!C$2:C$42,B12,'03-CAPILLARIZZAZIONE calc'!N$2:N$42)</f>
        <v>78081.234406468924</v>
      </c>
      <c r="E12" s="20">
        <f>SUMIF('03-CAPILLARIZZAZIONE calc'!C$2:C$42,B12,'03-CAPILLARIZZAZIONE calc'!O$2:O$42)</f>
        <v>103109.11667851833</v>
      </c>
    </row>
    <row r="13" spans="1:5" x14ac:dyDescent="0.25">
      <c r="B13" s="4" t="s">
        <v>42</v>
      </c>
      <c r="C13" s="20">
        <f>SUMIF('03-CAPILLARIZZAZIONE calc'!C$2:C$42,B13,'03-CAPILLARIZZAZIONE calc'!M$2:M$42)</f>
        <v>51529.917596611529</v>
      </c>
      <c r="D13" s="20">
        <f>SUMIF('03-CAPILLARIZZAZIONE calc'!C$2:C$42,B13,'03-CAPILLARIZZAZIONE calc'!N$2:N$42)</f>
        <v>84039.112802256685</v>
      </c>
      <c r="E13" s="20">
        <f>SUMIF('03-CAPILLARIZZAZIONE calc'!C$2:C$42,B13,'03-CAPILLARIZZAZIONE calc'!O$2:O$42)</f>
        <v>110976.71230936827</v>
      </c>
    </row>
    <row r="14" spans="1:5" ht="31.5" x14ac:dyDescent="0.25">
      <c r="B14" s="4" t="s">
        <v>43</v>
      </c>
      <c r="C14" s="20">
        <f>SUMIF('03-CAPILLARIZZAZIONE calc'!C$2:C$42,B14,'03-CAPILLARIZZAZIONE calc'!M$2:M$42)</f>
        <v>142356.3238835276</v>
      </c>
      <c r="D14" s="20">
        <f>SUMIF('03-CAPILLARIZZAZIONE calc'!C$2:C$42,B14,'03-CAPILLARIZZAZIONE calc'!N$2:N$42)</f>
        <v>232166.08368395781</v>
      </c>
      <c r="E14" s="20">
        <f>SUMIF('03-CAPILLARIZZAZIONE calc'!C$2:C$42,B14,'03-CAPILLARIZZAZIONE calc'!O$2:O$42)</f>
        <v>306583.77769422909</v>
      </c>
    </row>
    <row r="15" spans="1:5" ht="31.5" x14ac:dyDescent="0.25">
      <c r="B15" s="4" t="s">
        <v>44</v>
      </c>
      <c r="C15" s="20">
        <f>SUMIF('03-CAPILLARIZZAZIONE calc'!C$2:C$42,B15,'03-CAPILLARIZZAZIONE calc'!M$2:M$42)</f>
        <v>14086.141924779626</v>
      </c>
      <c r="D15" s="20">
        <f>SUMIF('03-CAPILLARIZZAZIONE calc'!C$2:C$42,B15,'03-CAPILLARIZZAZIONE calc'!N$2:N$42)</f>
        <v>22972.80735886515</v>
      </c>
      <c r="E15" s="20">
        <f>SUMIF('03-CAPILLARIZZAZIONE calc'!C$2:C$42,B15,'03-CAPILLARIZZAZIONE calc'!O$2:O$42)</f>
        <v>30336.429647968111</v>
      </c>
    </row>
    <row r="16" spans="1:5" x14ac:dyDescent="0.25">
      <c r="B16" s="4" t="s">
        <v>45</v>
      </c>
      <c r="C16" s="20">
        <f>SUMIF('03-CAPILLARIZZAZIONE calc'!C$2:C$42,B16,'03-CAPILLARIZZAZIONE calc'!M$2:M$42)</f>
        <v>25910.773276373522</v>
      </c>
      <c r="D16" s="20">
        <f>SUMIF('03-CAPILLARIZZAZIONE calc'!C$2:C$42,B16,'03-CAPILLARIZZAZIONE calc'!N$2:N$42)</f>
        <v>42257.362319361448</v>
      </c>
      <c r="E16" s="20">
        <f>SUMIF('03-CAPILLARIZZAZIONE calc'!C$2:C$42,B16,'03-CAPILLARIZZAZIONE calc'!O$2:O$42)</f>
        <v>55802.387539514653</v>
      </c>
    </row>
    <row r="17" spans="2:5" x14ac:dyDescent="0.25">
      <c r="B17" s="4" t="s">
        <v>46</v>
      </c>
      <c r="C17" s="20">
        <f>SUMIF('03-CAPILLARIZZAZIONE calc'!C$2:C$42,B17,'03-CAPILLARIZZAZIONE calc'!M$2:M$42)</f>
        <v>25910.773276373522</v>
      </c>
      <c r="D17" s="20">
        <f>SUMIF('03-CAPILLARIZZAZIONE calc'!C$2:C$42,B17,'03-CAPILLARIZZAZIONE calc'!N$2:N$42)</f>
        <v>42257.362319361448</v>
      </c>
      <c r="E17" s="20">
        <f>SUMIF('03-CAPILLARIZZAZIONE calc'!C$2:C$42,B17,'03-CAPILLARIZZAZIONE calc'!O$2:O$42)</f>
        <v>55802.387539514653</v>
      </c>
    </row>
    <row r="18" spans="2:5" x14ac:dyDescent="0.25">
      <c r="B18" s="4" t="s">
        <v>47</v>
      </c>
      <c r="C18" s="20">
        <f>SUMIF('03-CAPILLARIZZAZIONE calc'!C$2:C$42,B18,'03-CAPILLARIZZAZIONE calc'!M$2:M$42)</f>
        <v>52669.116164943305</v>
      </c>
      <c r="D18" s="20">
        <f>SUMIF('03-CAPILLARIZZAZIONE calc'!C$2:C$42,B18,'03-CAPILLARIZZAZIONE calc'!N$2:N$42)</f>
        <v>85897.008980893283</v>
      </c>
      <c r="E18" s="20">
        <f>SUMIF('03-CAPILLARIZZAZIONE calc'!C$2:C$42,B18,'03-CAPILLARIZZAZIONE calc'!O$2:O$42)</f>
        <v>113430.13194746435</v>
      </c>
    </row>
    <row r="19" spans="2:5" x14ac:dyDescent="0.25">
      <c r="B19" s="4" t="s">
        <v>48</v>
      </c>
      <c r="C19" s="20">
        <f>SUMIF('03-CAPILLARIZZAZIONE calc'!C$2:C$42,B19,'03-CAPILLARIZZAZIONE calc'!M$2:M$42)</f>
        <v>17160.319513545332</v>
      </c>
      <c r="D19" s="20">
        <f>SUMIF('03-CAPILLARIZZAZIONE calc'!C$2:C$42,B19,'03-CAPILLARIZZAZIONE calc'!N$2:N$42)</f>
        <v>27986.422152098181</v>
      </c>
      <c r="E19" s="20">
        <f>SUMIF('03-CAPILLARIZZAZIONE calc'!C$2:C$42,B19,'03-CAPILLARIZZAZIONE calc'!O$2:O$42)</f>
        <v>36957.090766176327</v>
      </c>
    </row>
    <row r="20" spans="2:5" x14ac:dyDescent="0.25">
      <c r="B20" s="4" t="s">
        <v>49</v>
      </c>
      <c r="C20" s="20">
        <f>SUMIF('03-CAPILLARIZZAZIONE calc'!C$2:C$42,B20,'03-CAPILLARIZZAZIONE calc'!M$2:M$42)</f>
        <v>61365.766935364212</v>
      </c>
      <c r="D20" s="20">
        <f>SUMIF('03-CAPILLARIZZAZIONE calc'!C$2:C$42,B20,'03-CAPILLARIZZAZIONE calc'!N$2:N$42)</f>
        <v>100080.20292307212</v>
      </c>
      <c r="E20" s="20">
        <f>SUMIF('03-CAPILLARIZZAZIONE calc'!C$2:C$42,B20,'03-CAPILLARIZZAZIONE calc'!O$2:O$42)</f>
        <v>132159.55663157272</v>
      </c>
    </row>
    <row r="21" spans="2:5" x14ac:dyDescent="0.25">
      <c r="B21" s="4" t="s">
        <v>50</v>
      </c>
      <c r="C21" s="20">
        <f>SUMIF('03-CAPILLARIZZAZIONE calc'!C$2:C$42,B21,'03-CAPILLARIZZAZIONE calc'!M$2:M$42)</f>
        <v>37563.689415455447</v>
      </c>
      <c r="D21" s="20">
        <f>SUMIF('03-CAPILLARIZZAZIONE calc'!C$2:C$42,B21,'03-CAPILLARIZZAZIONE calc'!N$2:N$42)</f>
        <v>61261.870371436016</v>
      </c>
      <c r="E21" s="20">
        <f>SUMIF('03-CAPILLARIZZAZIONE calc'!C$2:C$42,B21,'03-CAPILLARIZZAZIONE calc'!O$2:O$42)</f>
        <v>80898.533278686693</v>
      </c>
    </row>
    <row r="22" spans="2:5" ht="31.5" x14ac:dyDescent="0.25">
      <c r="B22" s="4" t="s">
        <v>6</v>
      </c>
      <c r="C22" s="20">
        <f>SUMIF('03-CAPILLARIZZAZIONE calc'!C$2:C$42,B22,'03-CAPILLARIZZAZIONE calc'!M$2:M$42)</f>
        <v>14086.141924779626</v>
      </c>
      <c r="D22" s="20">
        <f>SUMIF('03-CAPILLARIZZAZIONE calc'!C$2:C$42,B22,'03-CAPILLARIZZAZIONE calc'!N$2:N$42)</f>
        <v>22972.80735886515</v>
      </c>
      <c r="E22" s="20">
        <f>SUMIF('03-CAPILLARIZZAZIONE calc'!C$2:C$42,B22,'03-CAPILLARIZZAZIONE calc'!O$2:O$42)</f>
        <v>30336.429647968111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Q25"/>
  <sheetViews>
    <sheetView topLeftCell="G1" zoomScale="85" zoomScaleNormal="85" workbookViewId="0">
      <selection activeCell="J2" sqref="J2:J22"/>
    </sheetView>
  </sheetViews>
  <sheetFormatPr defaultColWidth="8.625" defaultRowHeight="15.75" x14ac:dyDescent="0.25"/>
  <cols>
    <col min="1" max="1" width="9.125" style="1" hidden="1" customWidth="1"/>
    <col min="2" max="2" width="41.75" style="1" customWidth="1"/>
    <col min="3" max="3" width="19.375" style="1" customWidth="1"/>
    <col min="4" max="4" width="23.5" style="1" customWidth="1"/>
    <col min="5" max="5" width="17.375" style="1" customWidth="1"/>
    <col min="6" max="6" width="27" style="1" customWidth="1"/>
    <col min="7" max="7" width="25.375" style="1" customWidth="1"/>
    <col min="8" max="8" width="23.625" style="1" customWidth="1"/>
    <col min="9" max="9" width="23.625" style="1" hidden="1" customWidth="1"/>
    <col min="10" max="10" width="24.75" style="1" customWidth="1"/>
    <col min="11" max="11" width="23.875" style="1" customWidth="1"/>
    <col min="12" max="12" width="23.625" style="1" hidden="1" customWidth="1"/>
    <col min="13" max="14" width="23.625" style="1" customWidth="1"/>
    <col min="15" max="15" width="15.5" style="1" hidden="1" customWidth="1"/>
    <col min="16" max="16" width="22.875" style="1" customWidth="1"/>
    <col min="16372" max="16384" width="10.5" style="1" customWidth="1"/>
  </cols>
  <sheetData>
    <row r="1" spans="1:16" ht="36" x14ac:dyDescent="0.25">
      <c r="A1" s="24" t="s">
        <v>27</v>
      </c>
      <c r="B1" s="19" t="s">
        <v>0</v>
      </c>
      <c r="C1" s="19" t="s">
        <v>1</v>
      </c>
      <c r="D1" s="19" t="s">
        <v>108</v>
      </c>
      <c r="E1" s="19" t="s">
        <v>25</v>
      </c>
      <c r="F1" s="19" t="s">
        <v>28</v>
      </c>
      <c r="G1" s="19" t="s">
        <v>109</v>
      </c>
      <c r="H1" s="19" t="s">
        <v>110</v>
      </c>
      <c r="I1" s="19"/>
      <c r="J1" s="30" t="s">
        <v>111</v>
      </c>
      <c r="K1" s="19" t="s">
        <v>112</v>
      </c>
      <c r="L1" s="19"/>
      <c r="M1" s="30" t="s">
        <v>113</v>
      </c>
      <c r="N1" s="19" t="s">
        <v>114</v>
      </c>
      <c r="O1" s="19"/>
      <c r="P1" s="30" t="s">
        <v>115</v>
      </c>
    </row>
    <row r="2" spans="1:16" x14ac:dyDescent="0.25">
      <c r="A2" s="1" t="e">
        <f>CONCATENATE(#REF!,#REF!)</f>
        <v>#REF!</v>
      </c>
      <c r="B2" s="4" t="s">
        <v>32</v>
      </c>
      <c r="C2" s="5">
        <v>1636342</v>
      </c>
      <c r="D2" s="4" t="s">
        <v>116</v>
      </c>
      <c r="E2" s="20">
        <f>VLOOKUP(B2,'02-CAPACITA'!B$2:C$30,2,0)</f>
        <v>1299400</v>
      </c>
      <c r="F2" s="20">
        <f>VLOOKUP(B2,'01-FATTURATO'!B$2:C$30,2,0)</f>
        <v>722383.70799999998</v>
      </c>
      <c r="G2" s="20">
        <f>IF(VLOOKUP(B2,'02-CAPACITA'!B$2:G$30,4,0)+VLOOKUP(B2,'01-FATTURATO'!B$2:G$30,4,0)+VLOOKUP(B2,'03-CAPILLARIZZAZIONE'!B$2:E$30,2,0)&gt;E2,E2,VLOOKUP(B2,'02-CAPACITA'!B$2:G$30,4,0)+VLOOKUP(B2,'01-FATTURATO'!B$2:G$30,4,0)+VLOOKUP(B2,'03-CAPILLARIZZAZIONE'!B$2:E$30,2,0))</f>
        <v>906450.53767133539</v>
      </c>
      <c r="H2" s="20">
        <f t="shared" ref="H2:H22" si="0">IF(IF(D2="AUTISMO",(2500000*0.33)*(G2/SUMIF($D$2:$D$22,"AUTISMO",$G$2:$G$22)),(2500000*0.67)*(G2/SUMIF($D$2:$D$22,"&lt;&gt;AUTISMO",$G$2:$G$22)))+G2&gt;E2,E2,IF(D2="AUTISMO",(2500000*0.33)*(G2/SUMIF($D$2:$D$22,"AUTISMO",$G$2:$G$22)),(2500000*0.67)*(G2/SUMIF($D$2:$D$22,"&lt;&gt;AUTISMO",$G$2:$G$22)))+G2)</f>
        <v>1008438.566474925</v>
      </c>
      <c r="I2" s="20" t="str">
        <f t="shared" ref="I2:I22" si="1">IF(H2&lt;E2,"CAPACITA","")</f>
        <v>CAPACITA</v>
      </c>
      <c r="J2" s="33">
        <f t="shared" ref="J2:J22" si="2">IF(IF(AND(D2&lt;&gt;"AUTISMO",I2&lt;&gt;""),$H$24*(H2/SUMIFS($H$2:$H$22,$D$2:$D$22,"&lt;&gt;AUTISMO",$I$2:$I$22,"CAPACITA")))+H2&gt;E2,E2,IF(AND(D2&lt;&gt;"AUTISMO",I2&lt;&gt;""),$H$24*(H2/SUMIFS($H$2:$H$22,$D$2:$D$22,"&lt;&gt;AUTISMO",$I$2:$I$22,"CAPACITA")))+H2)</f>
        <v>1159245.8224314861</v>
      </c>
      <c r="K2" s="20">
        <f>IF(VLOOKUP(B2,'02-CAPACITA'!B$2:G$30,5,0)+VLOOKUP(B2,'01-FATTURATO'!B$2:G$30,5,0)+VLOOKUP(B2,'03-CAPILLARIZZAZIONE'!B$2:E$30,3,0)&gt;E2,E2,VLOOKUP(B2,'02-CAPACITA'!B$2:G$30,5,0)+VLOOKUP(B2,'01-FATTURATO'!B$2:G$30,5,0)+VLOOKUP(B2,'03-CAPILLARIZZAZIONE'!B$2:E$30,3,0))</f>
        <v>972154.21095616743</v>
      </c>
      <c r="L2" s="20" t="str">
        <f t="shared" ref="L2:L22" si="3">IF(K2&lt;E2,"CAPACITA","")</f>
        <v>CAPACITA</v>
      </c>
      <c r="M2" s="34">
        <f t="shared" ref="M2:M22" si="4">IF(IF(L2&lt;&gt;"",$K$24*(K2/SUMIF($L$2:$L$22,"CAPACITA",$K$2:$K$22)),0)+K2&gt;E2,E2,IF(L2&lt;&gt;"",$K$24*(K2/SUMIF($L$2:$L$22,"CAPACITA",$K$2:$K$22)),0)+K2)</f>
        <v>1051372.7936326687</v>
      </c>
      <c r="N2" s="20">
        <f>IF(VLOOKUP(B2,'02-CAPACITA'!B$2:G$30,6,0)+VLOOKUP(B2,'01-FATTURATO'!B$2:G$30,6,0)+VLOOKUP(B2,'03-CAPILLARIZZAZIONE'!B$2:E$30,4,0)&gt;E2,E2,VLOOKUP(B2,'02-CAPACITA'!B$2:G$30,6,0)+VLOOKUP(B2,'01-FATTURATO'!B$2:G$30,6,0)+VLOOKUP(B2,'03-CAPILLARIZZAZIONE'!B$2:E$30,4,0))</f>
        <v>949565.12690745958</v>
      </c>
      <c r="O2" s="20" t="str">
        <f t="shared" ref="O2:O22" si="5">IF(N2&lt;E2,"CAPACITA","")</f>
        <v>CAPACITA</v>
      </c>
      <c r="P2" s="34">
        <f t="shared" ref="P2:P22" si="6">IF(IF(O2&lt;&gt;"",$N$24*(N2/SUMIF($O$2:$O$22,"CAPACITA",$N$2:$N$22)),0)+N2&gt;E2,E2,IF(O2&lt;&gt;"",$N$24*(N2/SUMIF($O$2:$O$22,"CAPACITA",$N$2:$N$22)),0)+N2)</f>
        <v>1024013.9006713902</v>
      </c>
    </row>
    <row r="3" spans="1:16" x14ac:dyDescent="0.25">
      <c r="A3" s="1" t="e">
        <f>CONCATENATE(#REF!,#REF!)</f>
        <v>#REF!</v>
      </c>
      <c r="B3" s="4" t="s">
        <v>10</v>
      </c>
      <c r="C3" s="5">
        <v>951892</v>
      </c>
      <c r="D3" s="4" t="s">
        <v>117</v>
      </c>
      <c r="E3" s="20">
        <f>VLOOKUP(B3,'02-CAPACITA'!B$2:C$30,2,0)</f>
        <v>829280</v>
      </c>
      <c r="F3" s="20">
        <f>VLOOKUP(B3,'01-FATTURATO'!B$2:C$30,2,0)</f>
        <v>800637.625</v>
      </c>
      <c r="G3" s="20">
        <f>IF(VLOOKUP(B3,'02-CAPACITA'!B$2:G$30,4,0)+VLOOKUP(B3,'01-FATTURATO'!B$2:G$30,4,0)+VLOOKUP(B3,'03-CAPILLARIZZAZIONE'!B$2:E$30,2,0)&gt;E3,E3,VLOOKUP(B3,'02-CAPACITA'!B$2:G$30,4,0)+VLOOKUP(B3,'01-FATTURATO'!B$2:G$30,4,0)+VLOOKUP(B3,'03-CAPILLARIZZAZIONE'!B$2:E$30,2,0))</f>
        <v>829280</v>
      </c>
      <c r="H3" s="20">
        <f t="shared" si="0"/>
        <v>829280</v>
      </c>
      <c r="I3" s="20" t="str">
        <f t="shared" si="1"/>
        <v/>
      </c>
      <c r="J3" s="33">
        <f t="shared" si="2"/>
        <v>829280</v>
      </c>
      <c r="K3" s="20">
        <f>IF(VLOOKUP(B3,'02-CAPACITA'!B$2:G$30,5,0)+VLOOKUP(B3,'01-FATTURATO'!B$2:G$30,5,0)+VLOOKUP(B3,'03-CAPILLARIZZAZIONE'!B$2:E$30,3,0)&gt;E3,E3,VLOOKUP(B3,'02-CAPACITA'!B$2:G$30,5,0)+VLOOKUP(B3,'01-FATTURATO'!B$2:G$30,5,0)+VLOOKUP(B3,'03-CAPILLARIZZAZIONE'!B$2:E$30,3,0))</f>
        <v>829280</v>
      </c>
      <c r="L3" s="20" t="str">
        <f t="shared" si="3"/>
        <v/>
      </c>
      <c r="M3" s="34">
        <f t="shared" si="4"/>
        <v>829280</v>
      </c>
      <c r="N3" s="20">
        <f>IF(VLOOKUP(B3,'02-CAPACITA'!B$2:G$30,6,0)+VLOOKUP(B3,'01-FATTURATO'!B$2:G$30,6,0)+VLOOKUP(B3,'03-CAPILLARIZZAZIONE'!B$2:E$30,4,0)&gt;E3,E3,VLOOKUP(B3,'02-CAPACITA'!B$2:G$30,6,0)+VLOOKUP(B3,'01-FATTURATO'!B$2:G$30,6,0)+VLOOKUP(B3,'03-CAPILLARIZZAZIONE'!B$2:E$30,4,0))</f>
        <v>829280</v>
      </c>
      <c r="O3" s="20" t="str">
        <f t="shared" si="5"/>
        <v/>
      </c>
      <c r="P3" s="34">
        <f t="shared" si="6"/>
        <v>829280</v>
      </c>
    </row>
    <row r="4" spans="1:16" x14ac:dyDescent="0.25">
      <c r="A4" s="1" t="e">
        <f>CONCATENATE(#REF!,#REF!)</f>
        <v>#REF!</v>
      </c>
      <c r="B4" s="4" t="s">
        <v>33</v>
      </c>
      <c r="C4" s="5">
        <v>1351317</v>
      </c>
      <c r="D4" s="4" t="s">
        <v>116</v>
      </c>
      <c r="E4" s="20">
        <f>VLOOKUP(B4,'02-CAPACITA'!B$2:C$30,2,0)</f>
        <v>1950560</v>
      </c>
      <c r="F4" s="20">
        <f>VLOOKUP(B4,'01-FATTURATO'!B$2:C$30,2,0)</f>
        <v>1154353.32</v>
      </c>
      <c r="G4" s="20">
        <f>IF(VLOOKUP(B4,'02-CAPACITA'!B$2:G$30,4,0)+VLOOKUP(B4,'01-FATTURATO'!B$2:G$30,4,0)+VLOOKUP(B4,'03-CAPILLARIZZAZIONE'!B$2:E$30,2,0)&gt;E4,E4,VLOOKUP(B4,'02-CAPACITA'!B$2:G$30,4,0)+VLOOKUP(B4,'01-FATTURATO'!B$2:G$30,4,0)+VLOOKUP(B4,'03-CAPILLARIZZAZIONE'!B$2:E$30,2,0))</f>
        <v>1420287.8138120514</v>
      </c>
      <c r="H4" s="20">
        <f t="shared" si="0"/>
        <v>1580089.5332048992</v>
      </c>
      <c r="I4" s="20" t="str">
        <f t="shared" si="1"/>
        <v>CAPACITA</v>
      </c>
      <c r="J4" s="33">
        <f t="shared" si="2"/>
        <v>1816384.5090121729</v>
      </c>
      <c r="K4" s="20">
        <f>IF(VLOOKUP(B4,'02-CAPACITA'!B$2:G$30,5,0)+VLOOKUP(B4,'01-FATTURATO'!B$2:G$30,5,0)+VLOOKUP(B4,'03-CAPILLARIZZAZIONE'!B$2:E$30,3,0)&gt;E4,E4,VLOOKUP(B4,'02-CAPACITA'!B$2:G$30,5,0)+VLOOKUP(B4,'01-FATTURATO'!B$2:G$30,5,0)+VLOOKUP(B4,'03-CAPILLARIZZAZIONE'!B$2:E$30,3,0))</f>
        <v>1520746.1966853098</v>
      </c>
      <c r="L4" s="20" t="str">
        <f t="shared" si="3"/>
        <v>CAPACITA</v>
      </c>
      <c r="M4" s="34">
        <f t="shared" si="4"/>
        <v>1644668.2627056791</v>
      </c>
      <c r="N4" s="20">
        <f>IF(VLOOKUP(B4,'02-CAPACITA'!B$2:G$30,6,0)+VLOOKUP(B4,'01-FATTURATO'!B$2:G$30,6,0)+VLOOKUP(B4,'03-CAPILLARIZZAZIONE'!B$2:E$30,4,0)&gt;E4,E4,VLOOKUP(B4,'02-CAPACITA'!B$2:G$30,6,0)+VLOOKUP(B4,'01-FATTURATO'!B$2:G$30,6,0)+VLOOKUP(B4,'03-CAPILLARIZZAZIONE'!B$2:E$30,4,0))</f>
        <v>1482909.3419377117</v>
      </c>
      <c r="O4" s="20" t="str">
        <f t="shared" si="5"/>
        <v>CAPACITA</v>
      </c>
      <c r="P4" s="34">
        <f t="shared" si="6"/>
        <v>1599173.9129312704</v>
      </c>
    </row>
    <row r="5" spans="1:16" ht="31.5" x14ac:dyDescent="0.25">
      <c r="A5" s="1" t="e">
        <f>CONCATENATE(#REF!,#REF!)</f>
        <v>#REF!</v>
      </c>
      <c r="B5" s="4" t="s">
        <v>34</v>
      </c>
      <c r="C5" s="5">
        <v>943845</v>
      </c>
      <c r="D5" s="4" t="s">
        <v>117</v>
      </c>
      <c r="E5" s="20">
        <f>VLOOKUP(B5,'02-CAPACITA'!B$2:C$30,2,0)</f>
        <v>365000</v>
      </c>
      <c r="F5" s="20">
        <f>VLOOKUP(B5,'01-FATTURATO'!B$2:C$30,2,0)</f>
        <v>267576.40000000002</v>
      </c>
      <c r="G5" s="20">
        <f>IF(VLOOKUP(B5,'02-CAPACITA'!B$2:G$30,4,0)+VLOOKUP(B5,'01-FATTURATO'!B$2:G$30,4,0)+VLOOKUP(B5,'03-CAPILLARIZZAZIONE'!B$2:E$30,2,0)&gt;E5,E5,VLOOKUP(B5,'02-CAPACITA'!B$2:G$30,4,0)+VLOOKUP(B5,'01-FATTURATO'!B$2:G$30,4,0)+VLOOKUP(B5,'03-CAPILLARIZZAZIONE'!B$2:E$30,2,0))</f>
        <v>330101.52684134932</v>
      </c>
      <c r="H5" s="20">
        <f t="shared" si="0"/>
        <v>365000</v>
      </c>
      <c r="I5" s="20" t="str">
        <f t="shared" si="1"/>
        <v/>
      </c>
      <c r="J5" s="33">
        <f t="shared" si="2"/>
        <v>365000</v>
      </c>
      <c r="K5" s="20">
        <f>IF(VLOOKUP(B5,'02-CAPACITA'!B$2:G$30,5,0)+VLOOKUP(B5,'01-FATTURATO'!B$2:G$30,5,0)+VLOOKUP(B5,'03-CAPILLARIZZAZIONE'!B$2:E$30,3,0)&gt;E5,E5,VLOOKUP(B5,'02-CAPACITA'!B$2:G$30,5,0)+VLOOKUP(B5,'01-FATTURATO'!B$2:G$30,5,0)+VLOOKUP(B5,'03-CAPILLARIZZAZIONE'!B$2:E$30,3,0))</f>
        <v>363122.20871511829</v>
      </c>
      <c r="L5" s="20" t="str">
        <f t="shared" si="3"/>
        <v>CAPACITA</v>
      </c>
      <c r="M5" s="34">
        <f t="shared" si="4"/>
        <v>365000</v>
      </c>
      <c r="N5" s="20">
        <f>IF(VLOOKUP(B5,'02-CAPACITA'!B$2:G$30,6,0)+VLOOKUP(B5,'01-FATTURATO'!B$2:G$30,6,0)+VLOOKUP(B5,'03-CAPILLARIZZAZIONE'!B$2:E$30,4,0)&gt;E5,E5,VLOOKUP(B5,'02-CAPACITA'!B$2:G$30,6,0)+VLOOKUP(B5,'01-FATTURATO'!B$2:G$30,6,0)+VLOOKUP(B5,'03-CAPILLARIZZAZIONE'!B$2:E$30,4,0))</f>
        <v>363814.82125297579</v>
      </c>
      <c r="O5" s="20" t="str">
        <f t="shared" si="5"/>
        <v>CAPACITA</v>
      </c>
      <c r="P5" s="34">
        <f t="shared" si="6"/>
        <v>365000</v>
      </c>
    </row>
    <row r="6" spans="1:16" x14ac:dyDescent="0.25">
      <c r="A6" s="1" t="e">
        <f>CONCATENATE(#REF!,#REF!)</f>
        <v>#REF!</v>
      </c>
      <c r="B6" s="4" t="s">
        <v>35</v>
      </c>
      <c r="C6" s="5">
        <v>1336275</v>
      </c>
      <c r="D6" s="4" t="s">
        <v>117</v>
      </c>
      <c r="E6" s="20">
        <f>VLOOKUP(B6,'02-CAPACITA'!B$2:C$30,2,0)</f>
        <v>429240</v>
      </c>
      <c r="F6" s="20">
        <f>VLOOKUP(B6,'01-FATTURATO'!B$2:C$30,2,0)</f>
        <v>337872.43099999998</v>
      </c>
      <c r="G6" s="20">
        <f>IF(VLOOKUP(B6,'02-CAPACITA'!B$2:G$30,4,0)+VLOOKUP(B6,'01-FATTURATO'!B$2:G$30,4,0)+VLOOKUP(B6,'03-CAPILLARIZZAZIONE'!B$2:E$30,2,0)&gt;E6,E6,VLOOKUP(B6,'02-CAPACITA'!B$2:G$30,4,0)+VLOOKUP(B6,'01-FATTURATO'!B$2:G$30,4,0)+VLOOKUP(B6,'03-CAPILLARIZZAZIONE'!B$2:E$30,2,0))</f>
        <v>404722.98170512507</v>
      </c>
      <c r="H6" s="20">
        <f t="shared" si="0"/>
        <v>429240</v>
      </c>
      <c r="I6" s="20" t="str">
        <f t="shared" si="1"/>
        <v/>
      </c>
      <c r="J6" s="33">
        <f t="shared" si="2"/>
        <v>429240</v>
      </c>
      <c r="K6" s="20">
        <f>IF(VLOOKUP(B6,'02-CAPACITA'!B$2:G$30,5,0)+VLOOKUP(B6,'01-FATTURATO'!B$2:G$30,5,0)+VLOOKUP(B6,'03-CAPILLARIZZAZIONE'!B$2:E$30,3,0)&gt;E6,E6,VLOOKUP(B6,'02-CAPACITA'!B$2:G$30,5,0)+VLOOKUP(B6,'01-FATTURATO'!B$2:G$30,5,0)+VLOOKUP(B6,'03-CAPILLARIZZAZIONE'!B$2:E$30,3,0))</f>
        <v>429240</v>
      </c>
      <c r="L6" s="20" t="str">
        <f t="shared" si="3"/>
        <v/>
      </c>
      <c r="M6" s="34">
        <f t="shared" si="4"/>
        <v>429240</v>
      </c>
      <c r="N6" s="20">
        <f>IF(VLOOKUP(B6,'02-CAPACITA'!B$2:G$30,6,0)+VLOOKUP(B6,'01-FATTURATO'!B$2:G$30,6,0)+VLOOKUP(B6,'03-CAPILLARIZZAZIONE'!B$2:E$30,4,0)&gt;E6,E6,VLOOKUP(B6,'02-CAPACITA'!B$2:G$30,6,0)+VLOOKUP(B6,'01-FATTURATO'!B$2:G$30,6,0)+VLOOKUP(B6,'03-CAPILLARIZZAZIONE'!B$2:E$30,4,0))</f>
        <v>429240</v>
      </c>
      <c r="O6" s="20" t="str">
        <f t="shared" si="5"/>
        <v/>
      </c>
      <c r="P6" s="34">
        <f t="shared" si="6"/>
        <v>429240</v>
      </c>
    </row>
    <row r="7" spans="1:16" x14ac:dyDescent="0.25">
      <c r="A7" s="1" t="e">
        <f>CONCATENATE(#REF!,#REF!)</f>
        <v>#REF!</v>
      </c>
      <c r="B7" s="4" t="s">
        <v>36</v>
      </c>
      <c r="C7" s="5">
        <v>1458094</v>
      </c>
      <c r="D7" s="4" t="s">
        <v>117</v>
      </c>
      <c r="E7" s="20">
        <f>VLOOKUP(B7,'02-CAPACITA'!B$2:C$30,2,0)</f>
        <v>429240</v>
      </c>
      <c r="F7" s="20">
        <f>VLOOKUP(B7,'01-FATTURATO'!B$2:C$30,2,0)</f>
        <v>419639.73499999999</v>
      </c>
      <c r="G7" s="20">
        <f>IF(VLOOKUP(B7,'02-CAPACITA'!B$2:G$30,4,0)+VLOOKUP(B7,'01-FATTURATO'!B$2:G$30,4,0)+VLOOKUP(B7,'03-CAPILLARIZZAZIONE'!B$2:E$30,2,0)&gt;E7,E7,VLOOKUP(B7,'02-CAPACITA'!B$2:G$30,4,0)+VLOOKUP(B7,'01-FATTURATO'!B$2:G$30,4,0)+VLOOKUP(B7,'03-CAPILLARIZZAZIONE'!B$2:E$30,2,0))</f>
        <v>429240</v>
      </c>
      <c r="H7" s="20">
        <f t="shared" si="0"/>
        <v>429240</v>
      </c>
      <c r="I7" s="20" t="str">
        <f t="shared" si="1"/>
        <v/>
      </c>
      <c r="J7" s="33">
        <f t="shared" si="2"/>
        <v>429240</v>
      </c>
      <c r="K7" s="20">
        <f>IF(VLOOKUP(B7,'02-CAPACITA'!B$2:G$30,5,0)+VLOOKUP(B7,'01-FATTURATO'!B$2:G$30,5,0)+VLOOKUP(B7,'03-CAPILLARIZZAZIONE'!B$2:E$30,3,0)&gt;E7,E7,VLOOKUP(B7,'02-CAPACITA'!B$2:G$30,5,0)+VLOOKUP(B7,'01-FATTURATO'!B$2:G$30,5,0)+VLOOKUP(B7,'03-CAPILLARIZZAZIONE'!B$2:E$30,3,0))</f>
        <v>429240</v>
      </c>
      <c r="L7" s="20" t="str">
        <f t="shared" si="3"/>
        <v/>
      </c>
      <c r="M7" s="34">
        <f t="shared" si="4"/>
        <v>429240</v>
      </c>
      <c r="N7" s="20">
        <f>IF(VLOOKUP(B7,'02-CAPACITA'!B$2:G$30,6,0)+VLOOKUP(B7,'01-FATTURATO'!B$2:G$30,6,0)+VLOOKUP(B7,'03-CAPILLARIZZAZIONE'!B$2:E$30,4,0)&gt;E7,E7,VLOOKUP(B7,'02-CAPACITA'!B$2:G$30,6,0)+VLOOKUP(B7,'01-FATTURATO'!B$2:G$30,6,0)+VLOOKUP(B7,'03-CAPILLARIZZAZIONE'!B$2:E$30,4,0))</f>
        <v>429240</v>
      </c>
      <c r="O7" s="20" t="str">
        <f t="shared" si="5"/>
        <v/>
      </c>
      <c r="P7" s="34">
        <f t="shared" si="6"/>
        <v>429240</v>
      </c>
    </row>
    <row r="8" spans="1:16" ht="31.5" x14ac:dyDescent="0.25">
      <c r="A8" s="1" t="e">
        <f>CONCATENATE(#REF!,#REF!)</f>
        <v>#REF!</v>
      </c>
      <c r="B8" s="4" t="s">
        <v>37</v>
      </c>
      <c r="C8" s="5">
        <v>14277</v>
      </c>
      <c r="D8" s="4" t="s">
        <v>117</v>
      </c>
      <c r="E8" s="20">
        <f>VLOOKUP(B8,'02-CAPACITA'!B$2:C$30,2,0)</f>
        <v>1223480</v>
      </c>
      <c r="F8" s="20">
        <f>VLOOKUP(B8,'01-FATTURATO'!B$2:C$30,2,0)</f>
        <v>1099354.595</v>
      </c>
      <c r="G8" s="20">
        <f>IF(VLOOKUP(B8,'02-CAPACITA'!B$2:G$30,4,0)+VLOOKUP(B8,'01-FATTURATO'!B$2:G$30,4,0)+VLOOKUP(B8,'03-CAPILLARIZZAZIONE'!B$2:E$30,2,0)&gt;E8,E8,VLOOKUP(B8,'02-CAPACITA'!B$2:G$30,4,0)+VLOOKUP(B8,'01-FATTURATO'!B$2:G$30,4,0)+VLOOKUP(B8,'03-CAPILLARIZZAZIONE'!B$2:E$30,2,0))</f>
        <v>1223480</v>
      </c>
      <c r="H8" s="20">
        <f t="shared" si="0"/>
        <v>1223480</v>
      </c>
      <c r="I8" s="20" t="str">
        <f t="shared" si="1"/>
        <v/>
      </c>
      <c r="J8" s="33">
        <f t="shared" si="2"/>
        <v>1223480</v>
      </c>
      <c r="K8" s="20">
        <f>IF(VLOOKUP(B8,'02-CAPACITA'!B$2:G$30,5,0)+VLOOKUP(B8,'01-FATTURATO'!B$2:G$30,5,0)+VLOOKUP(B8,'03-CAPILLARIZZAZIONE'!B$2:E$30,3,0)&gt;E8,E8,VLOOKUP(B8,'02-CAPACITA'!B$2:G$30,5,0)+VLOOKUP(B8,'01-FATTURATO'!B$2:G$30,5,0)+VLOOKUP(B8,'03-CAPILLARIZZAZIONE'!B$2:E$30,3,0))</f>
        <v>1223480</v>
      </c>
      <c r="L8" s="20" t="str">
        <f t="shared" si="3"/>
        <v/>
      </c>
      <c r="M8" s="34">
        <f t="shared" si="4"/>
        <v>1223480</v>
      </c>
      <c r="N8" s="20">
        <f>IF(VLOOKUP(B8,'02-CAPACITA'!B$2:G$30,6,0)+VLOOKUP(B8,'01-FATTURATO'!B$2:G$30,6,0)+VLOOKUP(B8,'03-CAPILLARIZZAZIONE'!B$2:E$30,4,0)&gt;E8,E8,VLOOKUP(B8,'02-CAPACITA'!B$2:G$30,6,0)+VLOOKUP(B8,'01-FATTURATO'!B$2:G$30,6,0)+VLOOKUP(B8,'03-CAPILLARIZZAZIONE'!B$2:E$30,4,0))</f>
        <v>1223480</v>
      </c>
      <c r="O8" s="20" t="str">
        <f t="shared" si="5"/>
        <v/>
      </c>
      <c r="P8" s="34">
        <f t="shared" si="6"/>
        <v>1223480</v>
      </c>
    </row>
    <row r="9" spans="1:16" x14ac:dyDescent="0.25">
      <c r="B9" s="4" t="s">
        <v>38</v>
      </c>
      <c r="C9" s="5">
        <v>14653</v>
      </c>
      <c r="D9" s="4" t="s">
        <v>117</v>
      </c>
      <c r="E9" s="20">
        <f>VLOOKUP(B9,'02-CAPACITA'!B$2:C$30,2,0)</f>
        <v>3209080</v>
      </c>
      <c r="F9" s="20">
        <f>VLOOKUP(B9,'01-FATTURATO'!B$2:C$30,2,0)</f>
        <v>2502078.7779999999</v>
      </c>
      <c r="G9" s="20">
        <f>IF(VLOOKUP(B9,'02-CAPACITA'!B$2:G$30,4,0)+VLOOKUP(B9,'01-FATTURATO'!B$2:G$30,4,0)+VLOOKUP(B9,'03-CAPILLARIZZAZIONE'!B$2:E$30,2,0)&gt;E9,E9,VLOOKUP(B9,'02-CAPACITA'!B$2:G$30,4,0)+VLOOKUP(B9,'01-FATTURATO'!B$2:G$30,4,0)+VLOOKUP(B9,'03-CAPILLARIZZAZIONE'!B$2:E$30,2,0))</f>
        <v>2934069.7493652017</v>
      </c>
      <c r="H9" s="20">
        <f t="shared" si="0"/>
        <v>3209080</v>
      </c>
      <c r="I9" s="20" t="str">
        <f t="shared" si="1"/>
        <v/>
      </c>
      <c r="J9" s="33">
        <f t="shared" si="2"/>
        <v>3209080</v>
      </c>
      <c r="K9" s="20">
        <f>IF(VLOOKUP(B9,'02-CAPACITA'!B$2:G$30,5,0)+VLOOKUP(B9,'01-FATTURATO'!B$2:G$30,5,0)+VLOOKUP(B9,'03-CAPILLARIZZAZIONE'!B$2:E$30,3,0)&gt;E9,E9,VLOOKUP(B9,'02-CAPACITA'!B$2:G$30,5,0)+VLOOKUP(B9,'01-FATTURATO'!B$2:G$30,5,0)+VLOOKUP(B9,'03-CAPILLARIZZAZIONE'!B$2:E$30,3,0))</f>
        <v>3168010.5244366326</v>
      </c>
      <c r="L9" s="20" t="str">
        <f t="shared" si="3"/>
        <v>CAPACITA</v>
      </c>
      <c r="M9" s="34">
        <f t="shared" si="4"/>
        <v>3209080</v>
      </c>
      <c r="N9" s="20">
        <f>IF(VLOOKUP(B9,'02-CAPACITA'!B$2:G$30,6,0)+VLOOKUP(B9,'01-FATTURATO'!B$2:G$30,6,0)+VLOOKUP(B9,'03-CAPILLARIZZAZIONE'!B$2:E$30,4,0)&gt;E9,E9,VLOOKUP(B9,'02-CAPACITA'!B$2:G$30,6,0)+VLOOKUP(B9,'01-FATTURATO'!B$2:G$30,6,0)+VLOOKUP(B9,'03-CAPILLARIZZAZIONE'!B$2:E$30,4,0))</f>
        <v>3115750.2133787242</v>
      </c>
      <c r="O9" s="20" t="str">
        <f t="shared" si="5"/>
        <v>CAPACITA</v>
      </c>
      <c r="P9" s="34">
        <f t="shared" si="6"/>
        <v>3209080</v>
      </c>
    </row>
    <row r="10" spans="1:16" x14ac:dyDescent="0.25">
      <c r="B10" s="4" t="s">
        <v>39</v>
      </c>
      <c r="C10" s="5">
        <v>14466</v>
      </c>
      <c r="D10" s="4" t="s">
        <v>117</v>
      </c>
      <c r="E10" s="20">
        <f>VLOOKUP(B10,'02-CAPACITA'!B$2:C$30,2,0)</f>
        <v>751170</v>
      </c>
      <c r="F10" s="20">
        <f>VLOOKUP(B10,'01-FATTURATO'!B$2:C$30,2,0)</f>
        <v>690762.67799999996</v>
      </c>
      <c r="G10" s="20">
        <f>IF(VLOOKUP(B10,'02-CAPACITA'!B$2:G$30,4,0)+VLOOKUP(B10,'01-FATTURATO'!B$2:G$30,4,0)+VLOOKUP(B10,'03-CAPILLARIZZAZIONE'!B$2:E$30,2,0)&gt;E10,E10,VLOOKUP(B10,'02-CAPACITA'!B$2:G$30,4,0)+VLOOKUP(B10,'01-FATTURATO'!B$2:G$30,4,0)+VLOOKUP(B10,'03-CAPILLARIZZAZIONE'!B$2:E$30,2,0))</f>
        <v>751170</v>
      </c>
      <c r="H10" s="20">
        <f t="shared" si="0"/>
        <v>751170</v>
      </c>
      <c r="I10" s="20" t="str">
        <f t="shared" si="1"/>
        <v/>
      </c>
      <c r="J10" s="33">
        <f t="shared" si="2"/>
        <v>751170</v>
      </c>
      <c r="K10" s="20">
        <f>IF(VLOOKUP(B10,'02-CAPACITA'!B$2:G$30,5,0)+VLOOKUP(B10,'01-FATTURATO'!B$2:G$30,5,0)+VLOOKUP(B10,'03-CAPILLARIZZAZIONE'!B$2:E$30,3,0)&gt;E10,E10,VLOOKUP(B10,'02-CAPACITA'!B$2:G$30,5,0)+VLOOKUP(B10,'01-FATTURATO'!B$2:G$30,5,0)+VLOOKUP(B10,'03-CAPILLARIZZAZIONE'!B$2:E$30,3,0))</f>
        <v>751170</v>
      </c>
      <c r="L10" s="20" t="str">
        <f t="shared" si="3"/>
        <v/>
      </c>
      <c r="M10" s="34">
        <f t="shared" si="4"/>
        <v>751170</v>
      </c>
      <c r="N10" s="20">
        <f>IF(VLOOKUP(B10,'02-CAPACITA'!B$2:G$30,6,0)+VLOOKUP(B10,'01-FATTURATO'!B$2:G$30,6,0)+VLOOKUP(B10,'03-CAPILLARIZZAZIONE'!B$2:E$30,4,0)&gt;E10,E10,VLOOKUP(B10,'02-CAPACITA'!B$2:G$30,6,0)+VLOOKUP(B10,'01-FATTURATO'!B$2:G$30,6,0)+VLOOKUP(B10,'03-CAPILLARIZZAZIONE'!B$2:E$30,4,0))</f>
        <v>751170</v>
      </c>
      <c r="O10" s="20" t="str">
        <f t="shared" si="5"/>
        <v/>
      </c>
      <c r="P10" s="34">
        <f t="shared" si="6"/>
        <v>751170</v>
      </c>
    </row>
    <row r="11" spans="1:16" ht="31.5" x14ac:dyDescent="0.25">
      <c r="B11" s="4" t="s">
        <v>40</v>
      </c>
      <c r="C11" s="5">
        <v>12460</v>
      </c>
      <c r="D11" s="4" t="s">
        <v>118</v>
      </c>
      <c r="E11" s="20">
        <f>VLOOKUP(B11,'02-CAPACITA'!B$2:C$30,2,0)</f>
        <v>1335840</v>
      </c>
      <c r="F11" s="20">
        <f>VLOOKUP(B11,'01-FATTURATO'!B$2:C$30,2,0)</f>
        <v>906817.71</v>
      </c>
      <c r="G11" s="20">
        <f>IF(VLOOKUP(B11,'02-CAPACITA'!B$2:G$30,4,0)+VLOOKUP(B11,'01-FATTURATO'!B$2:G$30,4,0)+VLOOKUP(B11,'03-CAPILLARIZZAZIONE'!B$2:E$30,2,0)&gt;E11,E11,VLOOKUP(B11,'02-CAPACITA'!B$2:G$30,4,0)+VLOOKUP(B11,'01-FATTURATO'!B$2:G$30,4,0)+VLOOKUP(B11,'03-CAPILLARIZZAZIONE'!B$2:E$30,2,0))</f>
        <v>1093126.5721617634</v>
      </c>
      <c r="H11" s="20">
        <f t="shared" si="0"/>
        <v>1335840</v>
      </c>
      <c r="I11" s="20" t="str">
        <f t="shared" si="1"/>
        <v/>
      </c>
      <c r="J11" s="33">
        <f t="shared" si="2"/>
        <v>1335840</v>
      </c>
      <c r="K11" s="20">
        <f>IF(VLOOKUP(B11,'02-CAPACITA'!B$2:G$30,5,0)+VLOOKUP(B11,'01-FATTURATO'!B$2:G$30,5,0)+VLOOKUP(B11,'03-CAPILLARIZZAZIONE'!B$2:E$30,3,0)&gt;E11,E11,VLOOKUP(B11,'02-CAPACITA'!B$2:G$30,5,0)+VLOOKUP(B11,'01-FATTURATO'!B$2:G$30,5,0)+VLOOKUP(B11,'03-CAPILLARIZZAZIONE'!B$2:E$30,3,0))</f>
        <v>1178477.7490694423</v>
      </c>
      <c r="L11" s="20" t="str">
        <f t="shared" si="3"/>
        <v>CAPACITA</v>
      </c>
      <c r="M11" s="34">
        <f t="shared" si="4"/>
        <v>1274509.1563759567</v>
      </c>
      <c r="N11" s="20">
        <f>IF(VLOOKUP(B11,'02-CAPACITA'!B$2:G$30,6,0)+VLOOKUP(B11,'01-FATTURATO'!B$2:G$30,6,0)+VLOOKUP(B11,'03-CAPILLARIZZAZIONE'!B$2:E$30,4,0)&gt;E11,E11,VLOOKUP(B11,'02-CAPACITA'!B$2:G$30,6,0)+VLOOKUP(B11,'01-FATTURATO'!B$2:G$30,6,0)+VLOOKUP(B11,'03-CAPILLARIZZAZIONE'!B$2:E$30,4,0))</f>
        <v>1157235.5956148282</v>
      </c>
      <c r="O11" s="20" t="str">
        <f t="shared" si="5"/>
        <v>CAPACITA</v>
      </c>
      <c r="P11" s="34">
        <f t="shared" si="6"/>
        <v>1247966.3613181608</v>
      </c>
    </row>
    <row r="12" spans="1:16" x14ac:dyDescent="0.25">
      <c r="B12" s="4" t="s">
        <v>41</v>
      </c>
      <c r="C12" s="5">
        <v>12747</v>
      </c>
      <c r="D12" s="4" t="s">
        <v>117</v>
      </c>
      <c r="E12" s="20">
        <f>VLOOKUP(B12,'02-CAPACITA'!B$2:C$30,2,0)</f>
        <v>1078575</v>
      </c>
      <c r="F12" s="20">
        <f>VLOOKUP(B12,'01-FATTURATO'!B$2:C$30,2,0)</f>
        <v>1017143.17</v>
      </c>
      <c r="G12" s="20">
        <f>IF(VLOOKUP(B12,'02-CAPACITA'!B$2:G$30,4,0)+VLOOKUP(B12,'01-FATTURATO'!B$2:G$30,4,0)+VLOOKUP(B12,'03-CAPILLARIZZAZIONE'!B$2:E$30,2,0)&gt;E12,E12,VLOOKUP(B12,'02-CAPACITA'!B$2:G$30,4,0)+VLOOKUP(B12,'01-FATTURATO'!B$2:G$30,4,0)+VLOOKUP(B12,'03-CAPILLARIZZAZIONE'!B$2:E$30,2,0))</f>
        <v>1078575</v>
      </c>
      <c r="H12" s="20">
        <f t="shared" si="0"/>
        <v>1078575</v>
      </c>
      <c r="I12" s="20" t="str">
        <f t="shared" si="1"/>
        <v/>
      </c>
      <c r="J12" s="33">
        <f t="shared" si="2"/>
        <v>1078575</v>
      </c>
      <c r="K12" s="20">
        <f>IF(VLOOKUP(B12,'02-CAPACITA'!B$2:G$30,5,0)+VLOOKUP(B12,'01-FATTURATO'!B$2:G$30,5,0)+VLOOKUP(B12,'03-CAPILLARIZZAZIONE'!B$2:E$30,3,0)&gt;E12,E12,VLOOKUP(B12,'02-CAPACITA'!B$2:G$30,5,0)+VLOOKUP(B12,'01-FATTURATO'!B$2:G$30,5,0)+VLOOKUP(B12,'03-CAPILLARIZZAZIONE'!B$2:E$30,3,0))</f>
        <v>1078575</v>
      </c>
      <c r="L12" s="20" t="str">
        <f t="shared" si="3"/>
        <v/>
      </c>
      <c r="M12" s="34">
        <f t="shared" si="4"/>
        <v>1078575</v>
      </c>
      <c r="N12" s="20">
        <f>IF(VLOOKUP(B12,'02-CAPACITA'!B$2:G$30,6,0)+VLOOKUP(B12,'01-FATTURATO'!B$2:G$30,6,0)+VLOOKUP(B12,'03-CAPILLARIZZAZIONE'!B$2:E$30,4,0)&gt;E12,E12,VLOOKUP(B12,'02-CAPACITA'!B$2:G$30,6,0)+VLOOKUP(B12,'01-FATTURATO'!B$2:G$30,6,0)+VLOOKUP(B12,'03-CAPILLARIZZAZIONE'!B$2:E$30,4,0))</f>
        <v>1078575</v>
      </c>
      <c r="O12" s="20" t="str">
        <f t="shared" si="5"/>
        <v/>
      </c>
      <c r="P12" s="34">
        <f t="shared" si="6"/>
        <v>1078575</v>
      </c>
    </row>
    <row r="13" spans="1:16" x14ac:dyDescent="0.25">
      <c r="B13" s="4" t="s">
        <v>42</v>
      </c>
      <c r="C13" s="5">
        <v>1412719</v>
      </c>
      <c r="D13" s="4" t="s">
        <v>118</v>
      </c>
      <c r="E13" s="20">
        <f>VLOOKUP(B13,'02-CAPACITA'!B$2:C$30,2,0)</f>
        <v>2380200</v>
      </c>
      <c r="F13" s="20">
        <f>VLOOKUP(B13,'01-FATTURATO'!B$2:C$30,2,0)</f>
        <v>900964.81</v>
      </c>
      <c r="G13" s="20">
        <f>IF(VLOOKUP(B13,'02-CAPACITA'!B$2:G$30,4,0)+VLOOKUP(B13,'01-FATTURATO'!B$2:G$30,4,0)+VLOOKUP(B13,'03-CAPILLARIZZAZIONE'!B$2:E$30,2,0)&gt;E13,E13,VLOOKUP(B13,'02-CAPACITA'!B$2:G$30,4,0)+VLOOKUP(B13,'01-FATTURATO'!B$2:G$30,4,0)+VLOOKUP(B13,'03-CAPILLARIZZAZIONE'!B$2:E$30,2,0))</f>
        <v>1303469.465172064</v>
      </c>
      <c r="H13" s="20">
        <f t="shared" si="0"/>
        <v>1665683.4258540054</v>
      </c>
      <c r="I13" s="20" t="str">
        <f t="shared" si="1"/>
        <v>CAPACITA</v>
      </c>
      <c r="J13" s="33">
        <f t="shared" si="2"/>
        <v>1665683.4258540054</v>
      </c>
      <c r="K13" s="20">
        <f>IF(VLOOKUP(B13,'02-CAPACITA'!B$2:G$30,5,0)+VLOOKUP(B13,'01-FATTURATO'!B$2:G$30,5,0)+VLOOKUP(B13,'03-CAPILLARIZZAZIONE'!B$2:E$30,3,0)&gt;E13,E13,VLOOKUP(B13,'02-CAPACITA'!B$2:G$30,5,0)+VLOOKUP(B13,'01-FATTURATO'!B$2:G$30,5,0)+VLOOKUP(B13,'03-CAPILLARIZZAZIONE'!B$2:E$30,3,0))</f>
        <v>1414509.1341733432</v>
      </c>
      <c r="L13" s="20" t="str">
        <f t="shared" si="3"/>
        <v>CAPACITA</v>
      </c>
      <c r="M13" s="34">
        <f t="shared" si="4"/>
        <v>1529774.1893768429</v>
      </c>
      <c r="N13" s="20">
        <f>IF(VLOOKUP(B13,'02-CAPACITA'!B$2:G$30,6,0)+VLOOKUP(B13,'01-FATTURATO'!B$2:G$30,6,0)+VLOOKUP(B13,'03-CAPILLARIZZAZIONE'!B$2:E$30,4,0)&gt;E13,E13,VLOOKUP(B13,'02-CAPACITA'!B$2:G$30,6,0)+VLOOKUP(B13,'01-FATTURATO'!B$2:G$30,6,0)+VLOOKUP(B13,'03-CAPILLARIZZAZIONE'!B$2:E$30,4,0))</f>
        <v>1398266.6014703484</v>
      </c>
      <c r="O13" s="20" t="str">
        <f t="shared" si="5"/>
        <v>CAPACITA</v>
      </c>
      <c r="P13" s="34">
        <f t="shared" si="6"/>
        <v>1507894.9259788066</v>
      </c>
    </row>
    <row r="14" spans="1:16" ht="31.5" x14ac:dyDescent="0.25">
      <c r="B14" s="4" t="s">
        <v>43</v>
      </c>
      <c r="C14" s="5">
        <v>12485</v>
      </c>
      <c r="D14" s="4" t="s">
        <v>117</v>
      </c>
      <c r="E14" s="20">
        <f>VLOOKUP(B14,'02-CAPACITA'!B$2:C$30,2,0)</f>
        <v>1515845</v>
      </c>
      <c r="F14" s="20">
        <f>VLOOKUP(B14,'01-FATTURATO'!B$2:C$30,2,0)</f>
        <v>1373109.69</v>
      </c>
      <c r="G14" s="20">
        <f>IF(VLOOKUP(B14,'02-CAPACITA'!B$2:G$30,4,0)+VLOOKUP(B14,'01-FATTURATO'!B$2:G$30,4,0)+VLOOKUP(B14,'03-CAPILLARIZZAZIONE'!B$2:E$30,2,0)&gt;E14,E14,VLOOKUP(B14,'02-CAPACITA'!B$2:G$30,4,0)+VLOOKUP(B14,'01-FATTURATO'!B$2:G$30,4,0)+VLOOKUP(B14,'03-CAPILLARIZZAZIONE'!B$2:E$30,2,0))</f>
        <v>1515845</v>
      </c>
      <c r="H14" s="20">
        <f t="shared" si="0"/>
        <v>1515845</v>
      </c>
      <c r="I14" s="20" t="str">
        <f t="shared" si="1"/>
        <v/>
      </c>
      <c r="J14" s="33">
        <f t="shared" si="2"/>
        <v>1515845</v>
      </c>
      <c r="K14" s="20">
        <f>IF(VLOOKUP(B14,'02-CAPACITA'!B$2:G$30,5,0)+VLOOKUP(B14,'01-FATTURATO'!B$2:G$30,5,0)+VLOOKUP(B14,'03-CAPILLARIZZAZIONE'!B$2:E$30,3,0)&gt;E14,E14,VLOOKUP(B14,'02-CAPACITA'!B$2:G$30,5,0)+VLOOKUP(B14,'01-FATTURATO'!B$2:G$30,5,0)+VLOOKUP(B14,'03-CAPILLARIZZAZIONE'!B$2:E$30,3,0))</f>
        <v>1515845</v>
      </c>
      <c r="L14" s="20" t="str">
        <f t="shared" si="3"/>
        <v/>
      </c>
      <c r="M14" s="34">
        <f t="shared" si="4"/>
        <v>1515845</v>
      </c>
      <c r="N14" s="20">
        <f>IF(VLOOKUP(B14,'02-CAPACITA'!B$2:G$30,6,0)+VLOOKUP(B14,'01-FATTURATO'!B$2:G$30,6,0)+VLOOKUP(B14,'03-CAPILLARIZZAZIONE'!B$2:E$30,4,0)&gt;E14,E14,VLOOKUP(B14,'02-CAPACITA'!B$2:G$30,6,0)+VLOOKUP(B14,'01-FATTURATO'!B$2:G$30,6,0)+VLOOKUP(B14,'03-CAPILLARIZZAZIONE'!B$2:E$30,4,0))</f>
        <v>1515845</v>
      </c>
      <c r="O14" s="20" t="str">
        <f t="shared" si="5"/>
        <v/>
      </c>
      <c r="P14" s="34">
        <f t="shared" si="6"/>
        <v>1515845</v>
      </c>
    </row>
    <row r="15" spans="1:16" ht="31.5" x14ac:dyDescent="0.25">
      <c r="B15" s="4" t="s">
        <v>44</v>
      </c>
      <c r="C15" s="5">
        <v>1684369</v>
      </c>
      <c r="D15" s="4" t="s">
        <v>116</v>
      </c>
      <c r="E15" s="20">
        <f>VLOOKUP(B15,'02-CAPACITA'!B$2:C$30,2,0)</f>
        <v>521220</v>
      </c>
      <c r="F15" s="20">
        <f>VLOOKUP(B15,'01-FATTURATO'!B$2:C$30,2,0)</f>
        <v>97705.68</v>
      </c>
      <c r="G15" s="20">
        <f>IF(VLOOKUP(B15,'02-CAPACITA'!B$2:G$30,4,0)+VLOOKUP(B15,'01-FATTURATO'!B$2:G$30,4,0)+VLOOKUP(B15,'03-CAPILLARIZZAZIONE'!B$2:E$30,2,0)&gt;E15,E15,VLOOKUP(B15,'02-CAPACITA'!B$2:G$30,4,0)+VLOOKUP(B15,'01-FATTURATO'!B$2:G$30,4,0)+VLOOKUP(B15,'03-CAPILLARIZZAZIONE'!B$2:E$30,2,0))</f>
        <v>200830.85510660103</v>
      </c>
      <c r="H15" s="20">
        <f t="shared" si="0"/>
        <v>223427.06105941621</v>
      </c>
      <c r="I15" s="20" t="str">
        <f t="shared" si="1"/>
        <v>CAPACITA</v>
      </c>
      <c r="J15" s="33">
        <f t="shared" si="2"/>
        <v>256839.52970645641</v>
      </c>
      <c r="K15" s="20">
        <f>IF(VLOOKUP(B15,'02-CAPACITA'!B$2:G$30,5,0)+VLOOKUP(B15,'01-FATTURATO'!B$2:G$30,5,0)+VLOOKUP(B15,'03-CAPILLARIZZAZIONE'!B$2:E$30,3,0)&gt;E15,E15,VLOOKUP(B15,'02-CAPACITA'!B$2:G$30,5,0)+VLOOKUP(B15,'01-FATTURATO'!B$2:G$30,5,0)+VLOOKUP(B15,'03-CAPILLARIZZAZIONE'!B$2:E$30,3,0))</f>
        <v>222681.75118700269</v>
      </c>
      <c r="L15" s="20" t="str">
        <f t="shared" si="3"/>
        <v>CAPACITA</v>
      </c>
      <c r="M15" s="34">
        <f t="shared" si="4"/>
        <v>240827.5685050239</v>
      </c>
      <c r="N15" s="20">
        <f>IF(VLOOKUP(B15,'02-CAPACITA'!B$2:G$30,6,0)+VLOOKUP(B15,'01-FATTURATO'!B$2:G$30,6,0)+VLOOKUP(B15,'03-CAPILLARIZZAZIONE'!B$2:E$30,4,0)&gt;E15,E15,VLOOKUP(B15,'02-CAPACITA'!B$2:G$30,6,0)+VLOOKUP(B15,'01-FATTURATO'!B$2:G$30,6,0)+VLOOKUP(B15,'03-CAPILLARIZZAZIONE'!B$2:E$30,4,0))</f>
        <v>224830.72452902733</v>
      </c>
      <c r="O15" s="20" t="str">
        <f t="shared" si="5"/>
        <v>CAPACITA</v>
      </c>
      <c r="P15" s="34">
        <f t="shared" si="6"/>
        <v>242458.1323511276</v>
      </c>
    </row>
    <row r="16" spans="1:16" ht="31.5" x14ac:dyDescent="0.25">
      <c r="B16" s="4" t="s">
        <v>45</v>
      </c>
      <c r="C16" s="5">
        <v>1545987</v>
      </c>
      <c r="D16" s="4" t="s">
        <v>117</v>
      </c>
      <c r="E16" s="20">
        <f>VLOOKUP(B16,'02-CAPACITA'!B$2:C$30,2,0)</f>
        <v>1073100</v>
      </c>
      <c r="F16" s="20">
        <f>VLOOKUP(B16,'01-FATTURATO'!B$2:C$30,2,0)</f>
        <v>751964.04599999997</v>
      </c>
      <c r="G16" s="20">
        <f>IF(VLOOKUP(B16,'02-CAPACITA'!B$2:G$30,4,0)+VLOOKUP(B16,'01-FATTURATO'!B$2:G$30,4,0)+VLOOKUP(B16,'03-CAPILLARIZZAZIONE'!B$2:E$30,2,0)&gt;E16,E16,VLOOKUP(B16,'02-CAPACITA'!B$2:G$30,4,0)+VLOOKUP(B16,'01-FATTURATO'!B$2:G$30,4,0)+VLOOKUP(B16,'03-CAPILLARIZZAZIONE'!B$2:E$30,2,0))</f>
        <v>893814.34862088645</v>
      </c>
      <c r="H16" s="20">
        <f t="shared" si="0"/>
        <v>994380.6340868246</v>
      </c>
      <c r="I16" s="20" t="str">
        <f t="shared" si="1"/>
        <v>CAPACITA</v>
      </c>
      <c r="J16" s="33">
        <f t="shared" si="2"/>
        <v>1073100</v>
      </c>
      <c r="K16" s="20">
        <f>IF(VLOOKUP(B16,'02-CAPACITA'!B$2:G$30,5,0)+VLOOKUP(B16,'01-FATTURATO'!B$2:G$30,5,0)+VLOOKUP(B16,'03-CAPILLARIZZAZIONE'!B$2:E$30,3,0)&gt;E16,E16,VLOOKUP(B16,'02-CAPACITA'!B$2:G$30,5,0)+VLOOKUP(B16,'01-FATTURATO'!B$2:G$30,5,0)+VLOOKUP(B16,'03-CAPILLARIZZAZIONE'!B$2:E$30,3,0))</f>
        <v>960261.02697431296</v>
      </c>
      <c r="L16" s="20" t="str">
        <f t="shared" si="3"/>
        <v>CAPACITA</v>
      </c>
      <c r="M16" s="34">
        <f t="shared" si="4"/>
        <v>1038510.4617852439</v>
      </c>
      <c r="N16" s="20">
        <f>IF(VLOOKUP(B16,'02-CAPACITA'!B$2:G$30,6,0)+VLOOKUP(B16,'01-FATTURATO'!B$2:G$30,6,0)+VLOOKUP(B16,'03-CAPILLARIZZAZIONE'!B$2:E$30,4,0)&gt;E16,E16,VLOOKUP(B16,'02-CAPACITA'!B$2:G$30,6,0)+VLOOKUP(B16,'01-FATTURATO'!B$2:G$30,6,0)+VLOOKUP(B16,'03-CAPILLARIZZAZIONE'!B$2:E$30,4,0))</f>
        <v>939613.93143634859</v>
      </c>
      <c r="O16" s="20" t="str">
        <f t="shared" si="5"/>
        <v>CAPACITA</v>
      </c>
      <c r="P16" s="34">
        <f t="shared" si="6"/>
        <v>1013282.5014213956</v>
      </c>
    </row>
    <row r="17" spans="2:16" ht="31.5" x14ac:dyDescent="0.25">
      <c r="B17" s="4" t="s">
        <v>46</v>
      </c>
      <c r="C17" s="5">
        <v>1546021</v>
      </c>
      <c r="D17" s="4" t="s">
        <v>117</v>
      </c>
      <c r="E17" s="20">
        <f>VLOOKUP(B17,'02-CAPACITA'!B$2:C$30,2,0)</f>
        <v>1073100</v>
      </c>
      <c r="F17" s="20">
        <f>VLOOKUP(B17,'01-FATTURATO'!B$2:C$30,2,0)</f>
        <v>821097.9</v>
      </c>
      <c r="G17" s="20">
        <f>IF(VLOOKUP(B17,'02-CAPACITA'!B$2:G$30,4,0)+VLOOKUP(B17,'01-FATTURATO'!B$2:G$30,4,0)+VLOOKUP(B17,'03-CAPILLARIZZAZIONE'!B$2:E$30,2,0)&gt;E17,E17,VLOOKUP(B17,'02-CAPACITA'!B$2:G$30,4,0)+VLOOKUP(B17,'01-FATTURATO'!B$2:G$30,4,0)+VLOOKUP(B17,'03-CAPILLARIZZAZIONE'!B$2:E$30,2,0))</f>
        <v>954491.54579484533</v>
      </c>
      <c r="H17" s="20">
        <f t="shared" si="0"/>
        <v>1061884.8421962026</v>
      </c>
      <c r="I17" s="20" t="str">
        <f t="shared" si="1"/>
        <v>CAPACITA</v>
      </c>
      <c r="J17" s="33">
        <f t="shared" si="2"/>
        <v>1073100</v>
      </c>
      <c r="K17" s="20">
        <f>IF(VLOOKUP(B17,'02-CAPACITA'!B$2:G$30,5,0)+VLOOKUP(B17,'01-FATTURATO'!B$2:G$30,5,0)+VLOOKUP(B17,'03-CAPILLARIZZAZIONE'!B$2:E$30,3,0)&gt;E17,E17,VLOOKUP(B17,'02-CAPACITA'!B$2:G$30,5,0)+VLOOKUP(B17,'01-FATTURATO'!B$2:G$30,5,0)+VLOOKUP(B17,'03-CAPILLARIZZAZIONE'!B$2:E$30,3,0))</f>
        <v>1023876.3879986014</v>
      </c>
      <c r="L17" s="20" t="str">
        <f t="shared" si="3"/>
        <v>CAPACITA</v>
      </c>
      <c r="M17" s="34">
        <f t="shared" si="4"/>
        <v>1073100</v>
      </c>
      <c r="N17" s="20">
        <f>IF(VLOOKUP(B17,'02-CAPACITA'!B$2:G$30,6,0)+VLOOKUP(B17,'01-FATTURATO'!B$2:G$30,6,0)+VLOOKUP(B17,'03-CAPILLARIZZAZIONE'!B$2:E$30,4,0)&gt;E17,E17,VLOOKUP(B17,'02-CAPACITA'!B$2:G$30,6,0)+VLOOKUP(B17,'01-FATTURATO'!B$2:G$30,6,0)+VLOOKUP(B17,'03-CAPILLARIZZAZIONE'!B$2:E$30,4,0))</f>
        <v>1000285.2228444271</v>
      </c>
      <c r="O17" s="20" t="str">
        <f t="shared" si="5"/>
        <v>CAPACITA</v>
      </c>
      <c r="P17" s="34">
        <f t="shared" si="6"/>
        <v>1073100</v>
      </c>
    </row>
    <row r="18" spans="2:16" ht="31.5" x14ac:dyDescent="0.25">
      <c r="B18" s="4" t="s">
        <v>47</v>
      </c>
      <c r="C18" s="5">
        <v>1684369</v>
      </c>
      <c r="D18" s="4" t="s">
        <v>13</v>
      </c>
      <c r="E18" s="20">
        <f>VLOOKUP(B18,'02-CAPACITA'!B$2:C$30,2,0)</f>
        <v>585825</v>
      </c>
      <c r="F18" s="20">
        <f>VLOOKUP(B18,'01-FATTURATO'!B$2:C$30,2,0)</f>
        <v>423214.755</v>
      </c>
      <c r="G18" s="20">
        <f>IF(VLOOKUP(B18,'02-CAPACITA'!B$2:G$30,4,0)+VLOOKUP(B18,'01-FATTURATO'!B$2:G$30,4,0)+VLOOKUP(B18,'03-CAPILLARIZZAZIONE'!B$2:E$30,2,0)&gt;E18,E18,VLOOKUP(B18,'02-CAPACITA'!B$2:G$30,4,0)+VLOOKUP(B18,'01-FATTURATO'!B$2:G$30,4,0)+VLOOKUP(B18,'03-CAPILLARIZZAZIONE'!B$2:E$30,2,0))</f>
        <v>537623.42705277121</v>
      </c>
      <c r="H18" s="20">
        <f t="shared" si="0"/>
        <v>585825</v>
      </c>
      <c r="I18" s="20" t="str">
        <f t="shared" si="1"/>
        <v/>
      </c>
      <c r="J18" s="33">
        <f t="shared" si="2"/>
        <v>585825</v>
      </c>
      <c r="K18" s="20">
        <f>IF(VLOOKUP(B18,'02-CAPACITA'!B$2:G$30,5,0)+VLOOKUP(B18,'01-FATTURATO'!B$2:G$30,5,0)+VLOOKUP(B18,'03-CAPILLARIZZAZIONE'!B$2:E$30,3,0)&gt;E18,E18,VLOOKUP(B18,'02-CAPACITA'!B$2:G$30,5,0)+VLOOKUP(B18,'01-FATTURATO'!B$2:G$30,5,0)+VLOOKUP(B18,'03-CAPILLARIZZAZIONE'!B$2:E$30,3,0))</f>
        <v>585825</v>
      </c>
      <c r="L18" s="20" t="str">
        <f t="shared" si="3"/>
        <v/>
      </c>
      <c r="M18" s="34">
        <f t="shared" si="4"/>
        <v>585825</v>
      </c>
      <c r="N18" s="20">
        <f>IF(VLOOKUP(B18,'02-CAPACITA'!B$2:G$30,6,0)+VLOOKUP(B18,'01-FATTURATO'!B$2:G$30,6,0)+VLOOKUP(B18,'03-CAPILLARIZZAZIONE'!B$2:E$30,4,0)&gt;E18,E18,VLOOKUP(B18,'02-CAPACITA'!B$2:G$30,6,0)+VLOOKUP(B18,'01-FATTURATO'!B$2:G$30,6,0)+VLOOKUP(B18,'03-CAPILLARIZZAZIONE'!B$2:E$30,4,0))</f>
        <v>585825</v>
      </c>
      <c r="O18" s="20" t="str">
        <f t="shared" si="5"/>
        <v/>
      </c>
      <c r="P18" s="34">
        <f t="shared" si="6"/>
        <v>585825</v>
      </c>
    </row>
    <row r="19" spans="2:16" x14ac:dyDescent="0.25">
      <c r="B19" s="4" t="s">
        <v>48</v>
      </c>
      <c r="C19" s="5">
        <v>744487</v>
      </c>
      <c r="D19" s="4" t="s">
        <v>118</v>
      </c>
      <c r="E19" s="20">
        <f>VLOOKUP(B19,'02-CAPACITA'!B$2:C$30,2,0)</f>
        <v>926480</v>
      </c>
      <c r="F19" s="20">
        <f>VLOOKUP(B19,'01-FATTURATO'!B$2:C$30,2,0)</f>
        <v>110717.51</v>
      </c>
      <c r="G19" s="20">
        <f>IF(VLOOKUP(B19,'02-CAPACITA'!B$2:G$30,4,0)+VLOOKUP(B19,'01-FATTURATO'!B$2:G$30,4,0)+VLOOKUP(B19,'03-CAPILLARIZZAZIONE'!B$2:E$30,2,0)&gt;E19,E19,VLOOKUP(B19,'02-CAPACITA'!B$2:G$30,4,0)+VLOOKUP(B19,'01-FATTURATO'!B$2:G$30,4,0)+VLOOKUP(B19,'03-CAPILLARIZZAZIONE'!B$2:E$30,2,0))</f>
        <v>293847.68951799476</v>
      </c>
      <c r="H19" s="20">
        <f t="shared" si="0"/>
        <v>375503.40781554626</v>
      </c>
      <c r="I19" s="20" t="str">
        <f t="shared" si="1"/>
        <v>CAPACITA</v>
      </c>
      <c r="J19" s="33">
        <f t="shared" si="2"/>
        <v>375503.40781554626</v>
      </c>
      <c r="K19" s="20">
        <f>IF(VLOOKUP(B19,'02-CAPACITA'!B$2:G$30,5,0)+VLOOKUP(B19,'01-FATTURATO'!B$2:G$30,5,0)+VLOOKUP(B19,'03-CAPILLARIZZAZIONE'!B$2:E$30,3,0)&gt;E19,E19,VLOOKUP(B19,'02-CAPACITA'!B$2:G$30,5,0)+VLOOKUP(B19,'01-FATTURATO'!B$2:G$30,5,0)+VLOOKUP(B19,'03-CAPILLARIZZAZIONE'!B$2:E$30,3,0))</f>
        <v>325042.36913121084</v>
      </c>
      <c r="L19" s="20" t="str">
        <f t="shared" si="3"/>
        <v>CAPACITA</v>
      </c>
      <c r="M19" s="34">
        <f t="shared" si="4"/>
        <v>351529.31482582522</v>
      </c>
      <c r="N19" s="20">
        <f>IF(VLOOKUP(B19,'02-CAPACITA'!B$2:G$30,6,0)+VLOOKUP(B19,'01-FATTURATO'!B$2:G$30,6,0)+VLOOKUP(B19,'03-CAPILLARIZZAZIONE'!B$2:E$30,4,0)&gt;E19,E19,VLOOKUP(B19,'02-CAPACITA'!B$2:G$30,6,0)+VLOOKUP(B19,'01-FATTURATO'!B$2:G$30,6,0)+VLOOKUP(B19,'03-CAPILLARIZZAZIONE'!B$2:E$30,4,0))</f>
        <v>327424.89054479229</v>
      </c>
      <c r="O19" s="20" t="str">
        <f t="shared" si="5"/>
        <v>CAPACITA</v>
      </c>
      <c r="P19" s="34">
        <f t="shared" si="6"/>
        <v>353095.99083070731</v>
      </c>
    </row>
    <row r="20" spans="2:16" ht="31.5" x14ac:dyDescent="0.25">
      <c r="B20" s="4" t="s">
        <v>49</v>
      </c>
      <c r="C20" s="5">
        <v>1682912</v>
      </c>
      <c r="D20" s="4" t="s">
        <v>117</v>
      </c>
      <c r="E20" s="20">
        <f>VLOOKUP(B20,'02-CAPACITA'!B$2:C$30,2,0)</f>
        <v>1964000</v>
      </c>
      <c r="F20" s="20">
        <f>VLOOKUP(B20,'01-FATTURATO'!B$2:C$30,2,0)</f>
        <v>12450</v>
      </c>
      <c r="G20" s="20">
        <f>IF(VLOOKUP(B20,'02-CAPACITA'!B$2:G$30,4,0)+VLOOKUP(B20,'01-FATTURATO'!B$2:G$30,4,0)+VLOOKUP(B20,'03-CAPILLARIZZAZIONE'!B$2:E$30,2,0)&gt;E20,E20,VLOOKUP(B20,'02-CAPACITA'!B$2:G$30,4,0)+VLOOKUP(B20,'01-FATTURATO'!B$2:G$30,4,0)+VLOOKUP(B20,'03-CAPILLARIZZAZIONE'!B$2:E$30,2,0))</f>
        <v>452834.06780282815</v>
      </c>
      <c r="H20" s="20">
        <f t="shared" si="0"/>
        <v>503784.06676136696</v>
      </c>
      <c r="I20" s="20" t="str">
        <f t="shared" si="1"/>
        <v>CAPACITA</v>
      </c>
      <c r="J20" s="33">
        <f t="shared" si="2"/>
        <v>579122.61015771166</v>
      </c>
      <c r="K20" s="20">
        <f>IF(VLOOKUP(B20,'02-CAPACITA'!B$2:G$30,5,0)+VLOOKUP(B20,'01-FATTURATO'!B$2:G$30,5,0)+VLOOKUP(B20,'03-CAPILLARIZZAZIONE'!B$2:E$30,3,0)&gt;E20,E20,VLOOKUP(B20,'02-CAPACITA'!B$2:G$30,5,0)+VLOOKUP(B20,'01-FATTURATO'!B$2:G$30,5,0)+VLOOKUP(B20,'03-CAPILLARIZZAZIONE'!B$2:E$30,3,0))</f>
        <v>525281.11825171974</v>
      </c>
      <c r="L20" s="20" t="str">
        <f t="shared" si="3"/>
        <v>CAPACITA</v>
      </c>
      <c r="M20" s="34">
        <f t="shared" si="4"/>
        <v>568085.05329171836</v>
      </c>
      <c r="N20" s="20">
        <f>IF(VLOOKUP(B20,'02-CAPACITA'!B$2:G$30,6,0)+VLOOKUP(B20,'01-FATTURATO'!B$2:G$30,6,0)+VLOOKUP(B20,'03-CAPILLARIZZAZIONE'!B$2:E$30,4,0)&gt;E20,E20,VLOOKUP(B20,'02-CAPACITA'!B$2:G$30,6,0)+VLOOKUP(B20,'01-FATTURATO'!B$2:G$30,6,0)+VLOOKUP(B20,'03-CAPILLARIZZAZIONE'!B$2:E$30,4,0))</f>
        <v>552859.30808929238</v>
      </c>
      <c r="O20" s="20" t="str">
        <f t="shared" si="5"/>
        <v>CAPACITA</v>
      </c>
      <c r="P20" s="34">
        <f t="shared" si="6"/>
        <v>596205.14755295485</v>
      </c>
    </row>
    <row r="21" spans="2:16" x14ac:dyDescent="0.25">
      <c r="B21" s="4" t="s">
        <v>50</v>
      </c>
      <c r="C21" s="5">
        <v>1644293</v>
      </c>
      <c r="D21" s="4" t="s">
        <v>118</v>
      </c>
      <c r="E21" s="20">
        <f>VLOOKUP(B21,'02-CAPACITA'!B$2:C$30,2,0)</f>
        <v>561880</v>
      </c>
      <c r="F21" s="20">
        <f>VLOOKUP(B21,'01-FATTURATO'!B$2:C$30,2,0)</f>
        <v>150377.70000000001</v>
      </c>
      <c r="G21" s="20">
        <f>IF(VLOOKUP(B21,'02-CAPACITA'!B$2:G$30,4,0)+VLOOKUP(B21,'01-FATTURATO'!B$2:G$30,4,0)+VLOOKUP(B21,'03-CAPILLARIZZAZIONE'!B$2:E$30,2,0)&gt;E21,E21,VLOOKUP(B21,'02-CAPACITA'!B$2:G$30,4,0)+VLOOKUP(B21,'01-FATTURATO'!B$2:G$30,4,0)+VLOOKUP(B21,'03-CAPILLARIZZAZIONE'!B$2:E$30,2,0))</f>
        <v>278415.63666460675</v>
      </c>
      <c r="H21" s="20">
        <f t="shared" si="0"/>
        <v>355783.02666998701</v>
      </c>
      <c r="I21" s="20" t="str">
        <f t="shared" si="1"/>
        <v>CAPACITA</v>
      </c>
      <c r="J21" s="33">
        <f t="shared" si="2"/>
        <v>355783.02666998701</v>
      </c>
      <c r="K21" s="20">
        <f>IF(VLOOKUP(B21,'02-CAPACITA'!B$2:G$30,5,0)+VLOOKUP(B21,'01-FATTURATO'!B$2:G$30,5,0)+VLOOKUP(B21,'03-CAPILLARIZZAZIONE'!B$2:E$30,3,0)&gt;E21,E21,VLOOKUP(B21,'02-CAPACITA'!B$2:G$30,5,0)+VLOOKUP(B21,'01-FATTURATO'!B$2:G$30,5,0)+VLOOKUP(B21,'03-CAPILLARIZZAZIONE'!B$2:E$30,3,0))</f>
        <v>318003.9903482683</v>
      </c>
      <c r="L21" s="20" t="str">
        <f t="shared" si="3"/>
        <v>CAPACITA</v>
      </c>
      <c r="M21" s="34">
        <f t="shared" si="4"/>
        <v>343917.3949469935</v>
      </c>
      <c r="N21" s="20">
        <f>IF(VLOOKUP(B21,'02-CAPACITA'!B$2:G$30,6,0)+VLOOKUP(B21,'01-FATTURATO'!B$2:G$30,6,0)+VLOOKUP(B21,'03-CAPILLARIZZAZIONE'!B$2:E$30,4,0)&gt;E21,E21,VLOOKUP(B21,'02-CAPACITA'!B$2:G$30,6,0)+VLOOKUP(B21,'01-FATTURATO'!B$2:G$30,6,0)+VLOOKUP(B21,'03-CAPILLARIZZAZIONE'!B$2:E$30,4,0))</f>
        <v>330100.75315513078</v>
      </c>
      <c r="O21" s="20" t="str">
        <f t="shared" si="5"/>
        <v>CAPACITA</v>
      </c>
      <c r="P21" s="34">
        <f t="shared" si="6"/>
        <v>355981.64915116125</v>
      </c>
    </row>
    <row r="22" spans="2:16" ht="31.5" x14ac:dyDescent="0.25">
      <c r="B22" s="4" t="s">
        <v>6</v>
      </c>
      <c r="C22" s="5">
        <v>1684369</v>
      </c>
      <c r="D22" s="4" t="s">
        <v>117</v>
      </c>
      <c r="E22" s="20">
        <f>VLOOKUP(B22,'02-CAPACITA'!B$2:C$30,2,0)</f>
        <v>52560</v>
      </c>
      <c r="F22" s="20">
        <f>VLOOKUP(B22,'01-FATTURATO'!B$2:C$30,2,0)</f>
        <v>0</v>
      </c>
      <c r="G22" s="20">
        <f>IF(VLOOKUP(B22,'02-CAPACITA'!B$2:G$30,4,0)+VLOOKUP(B22,'01-FATTURATO'!B$2:G$30,4,0)+VLOOKUP(B22,'03-CAPILLARIZZAZIONE'!B$2:E$30,2,0)&gt;E22,E22,VLOOKUP(B22,'02-CAPACITA'!B$2:G$30,4,0)+VLOOKUP(B22,'01-FATTURATO'!B$2:G$30,4,0)+VLOOKUP(B22,'03-CAPILLARIZZAZIONE'!B$2:E$30,2,0))</f>
        <v>24270.076041737433</v>
      </c>
      <c r="H22" s="20">
        <f t="shared" si="0"/>
        <v>27000.790086840152</v>
      </c>
      <c r="I22" s="20" t="str">
        <f t="shared" si="1"/>
        <v>CAPACITA</v>
      </c>
      <c r="J22" s="33">
        <f t="shared" si="2"/>
        <v>31038.6315548526</v>
      </c>
      <c r="K22" s="20">
        <f>IF(VLOOKUP(B22,'02-CAPACITA'!B$2:G$30,5,0)+VLOOKUP(B22,'01-FATTURATO'!B$2:G$30,5,0)+VLOOKUP(B22,'03-CAPILLARIZZAZIONE'!B$2:E$30,3,0)&gt;E22,E22,VLOOKUP(B22,'02-CAPACITA'!B$2:G$30,5,0)+VLOOKUP(B22,'01-FATTURATO'!B$2:G$30,5,0)+VLOOKUP(B22,'03-CAPILLARIZZAZIONE'!B$2:E$30,3,0))</f>
        <v>34045.323778362857</v>
      </c>
      <c r="L22" s="20" t="str">
        <f t="shared" si="3"/>
        <v>CAPACITA</v>
      </c>
      <c r="M22" s="34">
        <f t="shared" si="4"/>
        <v>36819.597927555529</v>
      </c>
      <c r="N22" s="20">
        <f>IF(VLOOKUP(B22,'02-CAPACITA'!B$2:G$30,6,0)+VLOOKUP(B22,'01-FATTURATO'!B$2:G$30,6,0)+VLOOKUP(B22,'03-CAPILLARIZZAZIONE'!B$2:E$30,4,0)&gt;E22,E22,VLOOKUP(B22,'02-CAPACITA'!B$2:G$30,6,0)+VLOOKUP(B22,'01-FATTURATO'!B$2:G$30,6,0)+VLOOKUP(B22,'03-CAPILLARIZZAZIONE'!B$2:E$30,4,0))</f>
        <v>41302.675853934343</v>
      </c>
      <c r="O22" s="20" t="str">
        <f t="shared" si="5"/>
        <v>CAPACITA</v>
      </c>
      <c r="P22" s="34">
        <f t="shared" si="6"/>
        <v>44540.930380518475</v>
      </c>
    </row>
    <row r="24" spans="2:16" x14ac:dyDescent="0.25">
      <c r="G24" s="9" t="s">
        <v>119</v>
      </c>
      <c r="H24" s="31">
        <f>2500000-(SUM(H2:H22)-SUM(G2:G22))</f>
        <v>807395.93912114576</v>
      </c>
      <c r="J24" s="31"/>
      <c r="K24" s="32">
        <f>'00-BUDGET'!D7-SUM(K2:K22)</f>
        <v>979988.00829450786</v>
      </c>
      <c r="N24" s="31">
        <f>'00-BUDGET'!F7-SUM(N2:N22)</f>
        <v>931738.29298499972</v>
      </c>
    </row>
    <row r="25" spans="2:16" x14ac:dyDescent="0.25">
      <c r="J25" s="31"/>
    </row>
  </sheetData>
  <autoFilter ref="A1:N22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11156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NUOVI</vt:lpstr>
      <vt:lpstr>00-BUDGET</vt:lpstr>
      <vt:lpstr>01-FATTURATO</vt:lpstr>
      <vt:lpstr>02-CAPACITA</vt:lpstr>
      <vt:lpstr>03-CAPILLARIZZAZIONE calc</vt:lpstr>
      <vt:lpstr>03-CAPILLARIZZAZIONE</vt:lpstr>
      <vt:lpstr>04 - TOTALE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Acer Customer</dc:creator>
  <dc:description/>
  <cp:lastModifiedBy>Alice Fanni</cp:lastModifiedBy>
  <cp:revision>204</cp:revision>
  <cp:lastPrinted>2019-07-19T06:54:47Z</cp:lastPrinted>
  <dcterms:created xsi:type="dcterms:W3CDTF">2018-06-01T11:02:31Z</dcterms:created>
  <dcterms:modified xsi:type="dcterms:W3CDTF">2025-01-21T10:08:52Z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