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910014dessi\Desktop\DA VEDERE LUGLIO- AGOSTO\NUOVO PIANO D'ACQUISTO DIPENDENZE\"/>
    </mc:Choice>
  </mc:AlternateContent>
  <bookViews>
    <workbookView xWindow="0" yWindow="0" windowWidth="20490" windowHeight="7050" tabRatio="500" firstSheet="3" activeTab="3"/>
  </bookViews>
  <sheets>
    <sheet name="00-BUDGET" sheetId="1" r:id="rId1"/>
    <sheet name="01-FATTURATO" sheetId="2" r:id="rId2"/>
    <sheet name="02-CAPACITA" sheetId="3" r:id="rId3"/>
    <sheet name="03-CAPILLARIZZAZIONE calc" sheetId="4" r:id="rId4"/>
    <sheet name="03-CAPILLARIZZAZIONE" sheetId="5" r:id="rId5"/>
    <sheet name="04 - TOTALE" sheetId="6" r:id="rId6"/>
  </sheets>
  <definedNames>
    <definedName name="_xlnm._FilterDatabase" localSheetId="5" hidden="1">'04 - TOTALE'!$A$2:$I$9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6" l="1"/>
  <c r="E9" i="6"/>
  <c r="D9" i="6"/>
  <c r="A9" i="6"/>
  <c r="F8" i="6"/>
  <c r="E8" i="6"/>
  <c r="D8" i="6"/>
  <c r="A8" i="6"/>
  <c r="F7" i="6"/>
  <c r="E7" i="6"/>
  <c r="D7" i="6"/>
  <c r="A7" i="6"/>
  <c r="F6" i="6"/>
  <c r="E6" i="6"/>
  <c r="D6" i="6"/>
  <c r="A6" i="6"/>
  <c r="F5" i="6"/>
  <c r="E5" i="6"/>
  <c r="D5" i="6"/>
  <c r="A5" i="6"/>
  <c r="F4" i="6"/>
  <c r="E4" i="6"/>
  <c r="D4" i="6"/>
  <c r="A4" i="6"/>
  <c r="F3" i="6"/>
  <c r="E3" i="6"/>
  <c r="D3" i="6"/>
  <c r="A3" i="6"/>
  <c r="A8" i="5"/>
  <c r="A7" i="5"/>
  <c r="A6" i="5"/>
  <c r="A5" i="5"/>
  <c r="A4" i="5"/>
  <c r="A3" i="5"/>
  <c r="A2" i="5"/>
  <c r="I21" i="4"/>
  <c r="G21" i="4"/>
  <c r="I20" i="4"/>
  <c r="G20" i="4"/>
  <c r="A20" i="4"/>
  <c r="I19" i="4"/>
  <c r="G19" i="4"/>
  <c r="H19" i="4" s="1"/>
  <c r="J19" i="4" s="1"/>
  <c r="K19" i="4" s="1"/>
  <c r="A19" i="4"/>
  <c r="I18" i="4"/>
  <c r="G18" i="4"/>
  <c r="A18" i="4"/>
  <c r="I17" i="4"/>
  <c r="G17" i="4"/>
  <c r="A17" i="4"/>
  <c r="I16" i="4"/>
  <c r="G16" i="4"/>
  <c r="A16" i="4"/>
  <c r="I15" i="4"/>
  <c r="G15" i="4"/>
  <c r="H15" i="4" s="1"/>
  <c r="J15" i="4" s="1"/>
  <c r="K15" i="4" s="1"/>
  <c r="A15" i="4"/>
  <c r="I14" i="4"/>
  <c r="G14" i="4"/>
  <c r="H14" i="4" s="1"/>
  <c r="J14" i="4" s="1"/>
  <c r="K14" i="4" s="1"/>
  <c r="A14" i="4"/>
  <c r="I13" i="4"/>
  <c r="G13" i="4"/>
  <c r="A13" i="4"/>
  <c r="I12" i="4"/>
  <c r="G12" i="4"/>
  <c r="A12" i="4"/>
  <c r="I11" i="4"/>
  <c r="G11" i="4"/>
  <c r="A11" i="4"/>
  <c r="I10" i="4"/>
  <c r="G10" i="4"/>
  <c r="H10" i="4" s="1"/>
  <c r="J10" i="4" s="1"/>
  <c r="K10" i="4" s="1"/>
  <c r="A10" i="4"/>
  <c r="I9" i="4"/>
  <c r="G9" i="4"/>
  <c r="A9" i="4"/>
  <c r="I8" i="4"/>
  <c r="G8" i="4"/>
  <c r="A8" i="4"/>
  <c r="I7" i="4"/>
  <c r="G7" i="4"/>
  <c r="A7" i="4"/>
  <c r="I6" i="4"/>
  <c r="G6" i="4"/>
  <c r="H6" i="4" s="1"/>
  <c r="J6" i="4" s="1"/>
  <c r="K6" i="4" s="1"/>
  <c r="A6" i="4"/>
  <c r="I5" i="4"/>
  <c r="G5" i="4"/>
  <c r="A5" i="4"/>
  <c r="I4" i="4"/>
  <c r="G4" i="4"/>
  <c r="H8" i="4" s="1"/>
  <c r="J8" i="4" s="1"/>
  <c r="K8" i="4" s="1"/>
  <c r="A4" i="4"/>
  <c r="I3" i="4"/>
  <c r="G3" i="4"/>
  <c r="H3" i="4" s="1"/>
  <c r="J3" i="4" s="1"/>
  <c r="K3" i="4" s="1"/>
  <c r="A3" i="4"/>
  <c r="I2" i="4"/>
  <c r="G2" i="4"/>
  <c r="A2" i="4"/>
  <c r="I8" i="3"/>
  <c r="G8" i="3"/>
  <c r="F8" i="3"/>
  <c r="A8" i="3"/>
  <c r="H7" i="3"/>
  <c r="G7" i="3"/>
  <c r="F7" i="3"/>
  <c r="A7" i="3"/>
  <c r="I6" i="3"/>
  <c r="G6" i="3"/>
  <c r="F6" i="3"/>
  <c r="A6" i="3"/>
  <c r="G5" i="3"/>
  <c r="F5" i="3"/>
  <c r="A5" i="3"/>
  <c r="G4" i="3"/>
  <c r="F4" i="3"/>
  <c r="A4" i="3"/>
  <c r="G3" i="3"/>
  <c r="F3" i="3"/>
  <c r="A3" i="3"/>
  <c r="G2" i="3"/>
  <c r="F2" i="3"/>
  <c r="A2" i="3"/>
  <c r="E8" i="2"/>
  <c r="A8" i="2"/>
  <c r="E7" i="2"/>
  <c r="A7" i="2"/>
  <c r="E6" i="2"/>
  <c r="A6" i="2"/>
  <c r="E5" i="2"/>
  <c r="A5" i="2"/>
  <c r="E4" i="2"/>
  <c r="A4" i="2"/>
  <c r="E3" i="2"/>
  <c r="A3" i="2"/>
  <c r="E2" i="2"/>
  <c r="A2" i="2"/>
  <c r="H16" i="1"/>
  <c r="G16" i="1"/>
  <c r="F16" i="1"/>
  <c r="E16" i="1"/>
  <c r="D16" i="1"/>
  <c r="C16" i="1"/>
  <c r="H15" i="1"/>
  <c r="D15" i="1"/>
  <c r="H5" i="3" s="1"/>
  <c r="H14" i="1"/>
  <c r="H8" i="2" s="1"/>
  <c r="F7" i="1"/>
  <c r="D7" i="1"/>
  <c r="B7" i="1"/>
  <c r="B3" i="1"/>
  <c r="B2" i="1"/>
  <c r="L15" i="4" l="1"/>
  <c r="N15" i="4" s="1"/>
  <c r="H4" i="2"/>
  <c r="H17" i="4"/>
  <c r="J17" i="4" s="1"/>
  <c r="K17" i="4" s="1"/>
  <c r="H5" i="2"/>
  <c r="H12" i="4"/>
  <c r="J12" i="4" s="1"/>
  <c r="K12" i="4" s="1"/>
  <c r="I2" i="3"/>
  <c r="H3" i="3"/>
  <c r="I4" i="3"/>
  <c r="H2" i="4"/>
  <c r="J2" i="4" s="1"/>
  <c r="K2" i="4" s="1"/>
  <c r="M8" i="4" s="1"/>
  <c r="H5" i="4"/>
  <c r="J5" i="4" s="1"/>
  <c r="K5" i="4" s="1"/>
  <c r="N5" i="4"/>
  <c r="H16" i="4"/>
  <c r="J16" i="4" s="1"/>
  <c r="K16" i="4" s="1"/>
  <c r="H18" i="4"/>
  <c r="J18" i="4" s="1"/>
  <c r="K18" i="4" s="1"/>
  <c r="H20" i="4"/>
  <c r="J20" i="4" s="1"/>
  <c r="K20" i="4" s="1"/>
  <c r="H6" i="2"/>
  <c r="H2" i="2"/>
  <c r="H3" i="2"/>
  <c r="H7" i="4"/>
  <c r="J7" i="4" s="1"/>
  <c r="K7" i="4" s="1"/>
  <c r="H11" i="4"/>
  <c r="J11" i="4" s="1"/>
  <c r="K11" i="4" s="1"/>
  <c r="H8" i="3"/>
  <c r="I7" i="3"/>
  <c r="H4" i="3"/>
  <c r="I3" i="3"/>
  <c r="H7" i="2"/>
  <c r="H2" i="3"/>
  <c r="H4" i="4"/>
  <c r="J4" i="4" s="1"/>
  <c r="K4" i="4" s="1"/>
  <c r="H9" i="4"/>
  <c r="J9" i="4" s="1"/>
  <c r="K9" i="4" s="1"/>
  <c r="H13" i="4"/>
  <c r="J13" i="4" s="1"/>
  <c r="K13" i="4" s="1"/>
  <c r="F15" i="1"/>
  <c r="D14" i="1"/>
  <c r="F14" i="1"/>
  <c r="I5" i="3"/>
  <c r="H6" i="3"/>
  <c r="H21" i="4"/>
  <c r="J21" i="4" s="1"/>
  <c r="K21" i="4" s="1"/>
  <c r="O8" i="4" l="1"/>
  <c r="P8" i="4"/>
  <c r="F8" i="2"/>
  <c r="F4" i="2"/>
  <c r="F5" i="2"/>
  <c r="G6" i="6" s="1"/>
  <c r="F3" i="2"/>
  <c r="G4" i="6" s="1"/>
  <c r="F2" i="2"/>
  <c r="G3" i="6" s="1"/>
  <c r="F7" i="2"/>
  <c r="F6" i="2"/>
  <c r="G7" i="6" s="1"/>
  <c r="M18" i="4"/>
  <c r="L18" i="4"/>
  <c r="N18" i="4" s="1"/>
  <c r="M5" i="4"/>
  <c r="M12" i="4"/>
  <c r="L12" i="4"/>
  <c r="N12" i="4" s="1"/>
  <c r="D5" i="5" s="1"/>
  <c r="L17" i="4"/>
  <c r="N17" i="4" s="1"/>
  <c r="M17" i="4"/>
  <c r="M10" i="4"/>
  <c r="L9" i="4"/>
  <c r="N9" i="4" s="1"/>
  <c r="M9" i="4"/>
  <c r="M20" i="4"/>
  <c r="L20" i="4"/>
  <c r="N20" i="4" s="1"/>
  <c r="L14" i="4"/>
  <c r="N14" i="4" s="1"/>
  <c r="L6" i="4"/>
  <c r="N6" i="4" s="1"/>
  <c r="M15" i="4"/>
  <c r="L8" i="4"/>
  <c r="N8" i="4" s="1"/>
  <c r="D3" i="5" s="1"/>
  <c r="L11" i="4"/>
  <c r="N11" i="4" s="1"/>
  <c r="D4" i="5" s="1"/>
  <c r="M11" i="4"/>
  <c r="L16" i="4"/>
  <c r="N16" i="4" s="1"/>
  <c r="M16" i="4"/>
  <c r="M14" i="4"/>
  <c r="M6" i="4"/>
  <c r="L19" i="4"/>
  <c r="N19" i="4" s="1"/>
  <c r="L3" i="4"/>
  <c r="N3" i="4" s="1"/>
  <c r="M21" i="4"/>
  <c r="L21" i="4"/>
  <c r="N21" i="4" s="1"/>
  <c r="D8" i="5" s="1"/>
  <c r="G9" i="6" s="1"/>
  <c r="G7" i="2"/>
  <c r="G3" i="2"/>
  <c r="G4" i="2"/>
  <c r="G6" i="2"/>
  <c r="G5" i="2"/>
  <c r="G8" i="2"/>
  <c r="G2" i="2"/>
  <c r="L13" i="4"/>
  <c r="N13" i="4" s="1"/>
  <c r="D6" i="5" s="1"/>
  <c r="M13" i="4"/>
  <c r="M4" i="4"/>
  <c r="L4" i="4"/>
  <c r="N4" i="4" s="1"/>
  <c r="G5" i="6"/>
  <c r="L7" i="4"/>
  <c r="N7" i="4" s="1"/>
  <c r="M7" i="4"/>
  <c r="L2" i="4"/>
  <c r="N2" i="4" s="1"/>
  <c r="D2" i="5" s="1"/>
  <c r="M2" i="4"/>
  <c r="L10" i="4"/>
  <c r="N10" i="4" s="1"/>
  <c r="M19" i="4"/>
  <c r="M3" i="4"/>
  <c r="O3" i="4" l="1"/>
  <c r="P3" i="4"/>
  <c r="O6" i="4"/>
  <c r="P6" i="4"/>
  <c r="O11" i="4"/>
  <c r="E4" i="5" s="1"/>
  <c r="H5" i="6" s="1"/>
  <c r="P11" i="4"/>
  <c r="F4" i="5" s="1"/>
  <c r="I5" i="6" s="1"/>
  <c r="O9" i="4"/>
  <c r="P9" i="4"/>
  <c r="P5" i="4"/>
  <c r="O5" i="4"/>
  <c r="O19" i="4"/>
  <c r="P19" i="4"/>
  <c r="O7" i="4"/>
  <c r="P7" i="4"/>
  <c r="O21" i="4"/>
  <c r="E8" i="5" s="1"/>
  <c r="H9" i="6" s="1"/>
  <c r="P21" i="4"/>
  <c r="F8" i="5" s="1"/>
  <c r="I9" i="6" s="1"/>
  <c r="P14" i="4"/>
  <c r="O14" i="4"/>
  <c r="O15" i="4"/>
  <c r="P15" i="4"/>
  <c r="P20" i="4"/>
  <c r="O20" i="4"/>
  <c r="P4" i="4"/>
  <c r="O4" i="4"/>
  <c r="O16" i="4"/>
  <c r="E7" i="5" s="1"/>
  <c r="P16" i="4"/>
  <c r="F7" i="5" s="1"/>
  <c r="I8" i="6" s="1"/>
  <c r="O10" i="4"/>
  <c r="P10" i="4"/>
  <c r="O12" i="4"/>
  <c r="E5" i="5" s="1"/>
  <c r="H6" i="6" s="1"/>
  <c r="P12" i="4"/>
  <c r="F5" i="5" s="1"/>
  <c r="I6" i="6" s="1"/>
  <c r="O18" i="4"/>
  <c r="P18" i="4"/>
  <c r="F3" i="5"/>
  <c r="I4" i="6" s="1"/>
  <c r="O2" i="4"/>
  <c r="E2" i="5" s="1"/>
  <c r="H3" i="6" s="1"/>
  <c r="P2" i="4"/>
  <c r="P13" i="4"/>
  <c r="O13" i="4"/>
  <c r="E6" i="5" s="1"/>
  <c r="H7" i="6" s="1"/>
  <c r="D7" i="5"/>
  <c r="G8" i="6" s="1"/>
  <c r="B8" i="1" s="1"/>
  <c r="B9" i="1" s="1"/>
  <c r="O17" i="4"/>
  <c r="P17" i="4"/>
  <c r="E3" i="5"/>
  <c r="H4" i="6" s="1"/>
  <c r="F2" i="5" l="1"/>
  <c r="I3" i="6" s="1"/>
  <c r="H8" i="6"/>
  <c r="D8" i="1" s="1"/>
  <c r="D9" i="1" s="1"/>
  <c r="F6" i="5"/>
  <c r="I7" i="6" s="1"/>
  <c r="F8" i="1" l="1"/>
  <c r="F9" i="1" s="1"/>
</calcChain>
</file>

<file path=xl/sharedStrings.xml><?xml version="1.0" encoding="utf-8"?>
<sst xmlns="http://schemas.openxmlformats.org/spreadsheetml/2006/main" count="198" uniqueCount="75">
  <si>
    <t>BUDGET TOTALE</t>
  </si>
  <si>
    <t>NUOVI CONTRATTI</t>
  </si>
  <si>
    <t>BUDGET DA DISTRIBUIRE</t>
  </si>
  <si>
    <t>BUDGET DISTRIBUITO</t>
  </si>
  <si>
    <t>RESIDUO</t>
  </si>
  <si>
    <t>CRITERI</t>
  </si>
  <si>
    <t>%</t>
  </si>
  <si>
    <t>BUDGET</t>
  </si>
  <si>
    <t>FATTURATO</t>
  </si>
  <si>
    <t>CAPACITA</t>
  </si>
  <si>
    <t>CAPILLARIZZAZIONE</t>
  </si>
  <si>
    <t>CHIAVE</t>
  </si>
  <si>
    <t>ASSL</t>
  </si>
  <si>
    <t>Nome Struttura</t>
  </si>
  <si>
    <t>FATTURATO MEDIO</t>
  </si>
  <si>
    <t>BUDGET FATTURATO 2024</t>
  </si>
  <si>
    <t>BUDGET FATTURATO 2025</t>
  </si>
  <si>
    <t>BUDGET FATTURATO 2026</t>
  </si>
  <si>
    <t>CARBONIA</t>
  </si>
  <si>
    <t>ASSOCIAZIONE CASA EMMAUS IMPRESA SOCIALE</t>
  </si>
  <si>
    <t>CAGLIARI</t>
  </si>
  <si>
    <t>DIANOVA ONLUS</t>
  </si>
  <si>
    <t>CENTRO DI ACCOGLIENZA "DON VITO SGUOTTI”</t>
  </si>
  <si>
    <t>SASSARI</t>
  </si>
  <si>
    <t>COOP. SOC. PROMOZIONE UMANA ONLUS</t>
  </si>
  <si>
    <t>ORISTANO</t>
  </si>
  <si>
    <t>CENTRO D'ASCOLTO MADONNA DEL ROSARIO</t>
  </si>
  <si>
    <t>L'AQUILONE CENTRO SARDO DI SOLIDARIETA' ONLUS</t>
  </si>
  <si>
    <t>OLBIA</t>
  </si>
  <si>
    <t>ASSOCIAZIONE  L'ARCOBALENO</t>
  </si>
  <si>
    <t>CAPACITA’ 2024</t>
  </si>
  <si>
    <t>CAPACITA’ 2025/26</t>
  </si>
  <si>
    <t>% 2024</t>
  </si>
  <si>
    <t>% 2025/26</t>
  </si>
  <si>
    <t>BUDGET CAPACITA’ 2024</t>
  </si>
  <si>
    <t>BUDGET CAPACITA’ 2025/26</t>
  </si>
  <si>
    <t>ENTE GIURIDICO</t>
  </si>
  <si>
    <t>INDICE ABITANTI</t>
  </si>
  <si>
    <t>STRUTTURE STESSO LIVELLO NELL'ASSL</t>
  </si>
  <si>
    <t>STRUTTURE STESSO LIVELLO SARDEGNA</t>
  </si>
  <si>
    <t>INDICE PRESENZA</t>
  </si>
  <si>
    <t>MEDIA INDICI</t>
  </si>
  <si>
    <t>%INDICE 2024</t>
  </si>
  <si>
    <t>% INDICI
25/26</t>
  </si>
  <si>
    <t>BUDGET CAPILLARIZZAZIONE 2024</t>
  </si>
  <si>
    <t>BUDGET CAPILLARIZZAZIONE 2025</t>
  </si>
  <si>
    <t>BUDGET CAPILLARIZZAZIONE 2026</t>
  </si>
  <si>
    <t xml:space="preserve">CASA EMMAUS - LA CASA DI ANGELA </t>
  </si>
  <si>
    <t>Servizio residenziale per madri tossicodipendenti in gravidanza e/o con bambino</t>
  </si>
  <si>
    <t>Servizio residenziale per persone dipendenti da sostanze d'abuso con patologie psichiatriche</t>
  </si>
  <si>
    <t>Servizio residenziale terapeutico riabilitativo</t>
  </si>
  <si>
    <t>Servizio Residenziale pedagogico riabilitativo</t>
  </si>
  <si>
    <t>CASA EMMAUS - SAN LORENZO</t>
  </si>
  <si>
    <t>ASSOCIAZIONE DIANOVA ONLUS_ORTACESUS</t>
  </si>
  <si>
    <t xml:space="preserve">Centro residenziale di pronta accoglienza, osservazione e orientamento </t>
  </si>
  <si>
    <t>Servizio residenziale pedagogico riabilitativo</t>
  </si>
  <si>
    <t>ASSOCIAZIONE CENTRO DI ACCOGLIENZA DON VITO SGUOTTI</t>
  </si>
  <si>
    <t xml:space="preserve">Servizio residenziale per persone dipendenti da alcol </t>
  </si>
  <si>
    <t xml:space="preserve">COOPERATIVA SOCIALE PROMOZIONE UMANA  - MARIA MADRE DEI POVERI </t>
  </si>
  <si>
    <t>SANLURI</t>
  </si>
  <si>
    <t xml:space="preserve">MADONNA DEL ROSARIO - COMUNITA' TERAPEUTICA SAN MICHELE </t>
  </si>
  <si>
    <t xml:space="preserve">MADONNA DEL ROSARIO - COMUNITA' DI PRONTA ACCOGLIENZA IL SALVATORE </t>
  </si>
  <si>
    <t xml:space="preserve">MADONNA DEL ROSARIO - COMUNITA' TERAPEUTICA ALLE SORGENTI </t>
  </si>
  <si>
    <t>ASSOCIAZIONE L'AQUILONE - “SU MASU” -  Elmas</t>
  </si>
  <si>
    <t>ASSOCIAZIONE L'AQUILONE - LOC. FLUMINI DI QUARTU S.E.</t>
  </si>
  <si>
    <t>Servizio semi-residenziale terapeutico
riabilitativo</t>
  </si>
  <si>
    <t>ASSOCIAZIONE L'AQUILONE - U.O. LOC. MAGANGIOSA SESTU</t>
  </si>
  <si>
    <t xml:space="preserve">ASSOCIAZIONE L'AQUILONE - Comunità Terapeutica Assemini </t>
  </si>
  <si>
    <t xml:space="preserve">COMUNITA' L'ARCOBALENO </t>
  </si>
  <si>
    <t>CAPACITA 2024</t>
  </si>
  <si>
    <t>CAPACITA 2025/26</t>
  </si>
  <si>
    <t>BUDGET  2024</t>
  </si>
  <si>
    <t>BUDGET 2025</t>
  </si>
  <si>
    <t>BUDGET 2026</t>
  </si>
  <si>
    <t>Livello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</si>
</sst>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\-??_-;_-@_-"/>
    <numFmt numFmtId="165" formatCode="0.0%"/>
    <numFmt numFmtId="166" formatCode="_-* #,##0.00\ _€_-;\-* #,##0.00\ _€_-;_-* \-??\ _€_-;_-@_-"/>
    <numFmt numFmtId="167" formatCode="_-* #,##0_-;\-* #,##0_-;_-* \-??_-;_-@_-"/>
  </numFmts>
  <fonts count="7" x14ac:knownFonts="1">
    <font>
      <sz val="12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sz val="12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6" tint="0.79989013336588644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/>
    <xf numFmtId="164" fontId="6" fillId="0" borderId="0" applyBorder="0" applyProtection="0"/>
    <xf numFmtId="9" fontId="6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1" fillId="0" borderId="0" applyBorder="0" applyProtection="0"/>
  </cellStyleXfs>
  <cellXfs count="28">
    <xf numFmtId="0" fontId="0" fillId="0" borderId="0" xfId="0"/>
    <xf numFmtId="9" fontId="0" fillId="0" borderId="1" xfId="2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/>
    <xf numFmtId="0" fontId="2" fillId="0" borderId="1" xfId="0" applyFont="1" applyBorder="1" applyAlignment="1" applyProtection="1"/>
    <xf numFmtId="164" fontId="0" fillId="0" borderId="1" xfId="1" applyFont="1" applyBorder="1" applyAlignment="1" applyProtection="1"/>
    <xf numFmtId="9" fontId="2" fillId="0" borderId="1" xfId="0" applyNumberFormat="1" applyFont="1" applyBorder="1" applyAlignment="1" applyProtection="1"/>
    <xf numFmtId="9" fontId="2" fillId="0" borderId="1" xfId="2" applyFont="1" applyBorder="1" applyAlignment="1" applyProtection="1"/>
    <xf numFmtId="0" fontId="0" fillId="0" borderId="1" xfId="0" applyBorder="1" applyAlignment="1" applyProtection="1"/>
    <xf numFmtId="10" fontId="0" fillId="0" borderId="0" xfId="2" applyNumberFormat="1" applyFont="1" applyBorder="1" applyAlignment="1" applyProtection="1"/>
    <xf numFmtId="4" fontId="0" fillId="0" borderId="0" xfId="0" applyNumberFormat="1" applyAlignment="1" applyProtection="1"/>
    <xf numFmtId="164" fontId="0" fillId="0" borderId="1" xfId="1" applyFont="1" applyBorder="1" applyAlignment="1" applyProtection="1">
      <alignment vertical="center"/>
    </xf>
    <xf numFmtId="165" fontId="0" fillId="0" borderId="1" xfId="2" applyNumberFormat="1" applyFont="1" applyBorder="1" applyAlignment="1" applyProtection="1"/>
    <xf numFmtId="166" fontId="0" fillId="0" borderId="1" xfId="0" applyNumberFormat="1" applyBorder="1" applyAlignment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164" fontId="4" fillId="0" borderId="1" xfId="1" applyFont="1" applyBorder="1" applyAlignment="1" applyProtection="1">
      <alignment horizontal="center" vertical="center" wrapText="1"/>
    </xf>
    <xf numFmtId="10" fontId="4" fillId="0" borderId="1" xfId="2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164" fontId="0" fillId="0" borderId="0" xfId="1" applyFont="1" applyBorder="1" applyAlignment="1" applyProtection="1"/>
    <xf numFmtId="167" fontId="0" fillId="0" borderId="1" xfId="1" applyNumberFormat="1" applyFont="1" applyBorder="1" applyAlignment="1" applyProtection="1"/>
    <xf numFmtId="10" fontId="0" fillId="0" borderId="1" xfId="2" applyNumberFormat="1" applyFont="1" applyBorder="1" applyAlignment="1" applyProtection="1"/>
    <xf numFmtId="0" fontId="0" fillId="0" borderId="0" xfId="0" applyAlignment="1" applyProtection="1">
      <alignment wrapText="1"/>
    </xf>
    <xf numFmtId="0" fontId="0" fillId="0" borderId="0" xfId="0" applyFont="1" applyAlignment="1" applyProtection="1"/>
    <xf numFmtId="164" fontId="4" fillId="0" borderId="1" xfId="1" applyFont="1" applyBorder="1" applyAlignment="1" applyProtection="1">
      <alignment vertical="center" wrapText="1"/>
    </xf>
  </cellXfs>
  <cellStyles count="6">
    <cellStyle name="Campo tabella pivot" xfId="3"/>
    <cellStyle name="Categoria tabella pivot" xfId="4"/>
    <cellStyle name="Migliaia" xfId="1" builtinId="3"/>
    <cellStyle name="Normale" xfId="0" builtinId="0"/>
    <cellStyle name="Percentuale" xfId="2" builtinId="5"/>
    <cellStyle name="Valore tabella pivot" xf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ED4B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048576"/>
  <sheetViews>
    <sheetView zoomScaleNormal="100" workbookViewId="0">
      <selection activeCell="F9" sqref="F9"/>
    </sheetView>
  </sheetViews>
  <sheetFormatPr defaultColWidth="8.625" defaultRowHeight="15" customHeight="1" x14ac:dyDescent="0.25"/>
  <cols>
    <col min="1" max="1" width="23.375" style="4" customWidth="1"/>
    <col min="2" max="2" width="14.25" style="4" customWidth="1"/>
    <col min="3" max="3" width="6.125" style="4" customWidth="1"/>
    <col min="4" max="4" width="19.25" style="4" customWidth="1"/>
    <col min="5" max="5" width="6.5" style="4" customWidth="1"/>
    <col min="6" max="6" width="16.375" style="4" customWidth="1"/>
    <col min="7" max="7" width="6.5" style="4" customWidth="1"/>
    <col min="8" max="8" width="14.5" style="4" customWidth="1"/>
    <col min="9" max="9" width="4.875" style="4" customWidth="1"/>
    <col min="10" max="10" width="14.5" style="4" customWidth="1"/>
    <col min="16384" max="16384" width="10.5" style="4" customWidth="1"/>
  </cols>
  <sheetData>
    <row r="1" spans="1:8" ht="15.75" x14ac:dyDescent="0.25">
      <c r="A1" s="5" t="s">
        <v>0</v>
      </c>
      <c r="B1" s="6">
        <v>16718673</v>
      </c>
    </row>
    <row r="2" spans="1:8" ht="15.75" x14ac:dyDescent="0.25">
      <c r="A2" s="7">
        <v>0.9</v>
      </c>
      <c r="B2" s="6">
        <f>B$1*A2</f>
        <v>15046805.700000001</v>
      </c>
    </row>
    <row r="3" spans="1:8" ht="15.75" x14ac:dyDescent="0.25">
      <c r="A3" s="8">
        <v>0.1</v>
      </c>
      <c r="B3" s="6">
        <f>B$1*A3</f>
        <v>1671867.3</v>
      </c>
    </row>
    <row r="4" spans="1:8" ht="15.75" x14ac:dyDescent="0.25">
      <c r="A4" s="8"/>
      <c r="B4" s="6"/>
    </row>
    <row r="5" spans="1:8" ht="15.75" x14ac:dyDescent="0.25">
      <c r="B5" s="9">
        <v>2024</v>
      </c>
      <c r="D5" s="9">
        <v>2025</v>
      </c>
      <c r="F5" s="9">
        <v>2026</v>
      </c>
    </row>
    <row r="6" spans="1:8" ht="15.75" x14ac:dyDescent="0.25">
      <c r="A6" s="5" t="s">
        <v>1</v>
      </c>
      <c r="B6" s="6">
        <v>0</v>
      </c>
      <c r="C6" s="10"/>
      <c r="D6" s="6">
        <v>0</v>
      </c>
      <c r="F6" s="6">
        <v>0</v>
      </c>
    </row>
    <row r="7" spans="1:8" ht="15.75" x14ac:dyDescent="0.25">
      <c r="A7" s="5" t="s">
        <v>2</v>
      </c>
      <c r="B7" s="6">
        <f>B1-B6</f>
        <v>16718673</v>
      </c>
      <c r="D7" s="6">
        <f>B1-B6</f>
        <v>16718673</v>
      </c>
      <c r="F7" s="6">
        <f>B1-B6</f>
        <v>16718673</v>
      </c>
    </row>
    <row r="8" spans="1:8" ht="15.75" x14ac:dyDescent="0.25">
      <c r="A8" s="5" t="s">
        <v>3</v>
      </c>
      <c r="B8" s="11">
        <f>SUM('04 - TOTALE'!G3:G9)</f>
        <v>13504262.23209022</v>
      </c>
      <c r="D8" s="12">
        <f>SUM('04 - TOTALE'!H3:H9)</f>
        <v>13694150.293426357</v>
      </c>
      <c r="F8" s="12">
        <f>SUM('04 - TOTALE'!I3:I9)</f>
        <v>13675844.356664402</v>
      </c>
    </row>
    <row r="9" spans="1:8" ht="15.75" x14ac:dyDescent="0.25">
      <c r="A9" s="5" t="s">
        <v>4</v>
      </c>
      <c r="B9" s="12">
        <f>B7-B8</f>
        <v>3214410.7679097801</v>
      </c>
      <c r="D9" s="12">
        <f>D7-D8</f>
        <v>3024522.7065736428</v>
      </c>
      <c r="F9" s="12">
        <f>F7-F8</f>
        <v>3042828.6433355976</v>
      </c>
    </row>
    <row r="12" spans="1:8" ht="15.75" x14ac:dyDescent="0.25">
      <c r="C12" s="3">
        <v>2024</v>
      </c>
      <c r="D12" s="3"/>
      <c r="E12" s="3">
        <v>2025</v>
      </c>
      <c r="F12" s="3"/>
      <c r="G12" s="3">
        <v>2026</v>
      </c>
      <c r="H12" s="3"/>
    </row>
    <row r="13" spans="1:8" ht="15.75" x14ac:dyDescent="0.25">
      <c r="A13" s="2" t="s">
        <v>5</v>
      </c>
      <c r="B13" s="2"/>
      <c r="C13" s="5" t="s">
        <v>6</v>
      </c>
      <c r="D13" s="5" t="s">
        <v>7</v>
      </c>
      <c r="E13" s="5" t="s">
        <v>6</v>
      </c>
      <c r="F13" s="5" t="s">
        <v>7</v>
      </c>
      <c r="G13" s="5" t="s">
        <v>6</v>
      </c>
      <c r="H13" s="5" t="s">
        <v>7</v>
      </c>
    </row>
    <row r="14" spans="1:8" ht="15.75" x14ac:dyDescent="0.25">
      <c r="A14" s="1" t="s">
        <v>8</v>
      </c>
      <c r="B14" s="1"/>
      <c r="C14" s="13">
        <v>0.75</v>
      </c>
      <c r="D14" s="14">
        <f>B$7*C14</f>
        <v>12539004.75</v>
      </c>
      <c r="E14" s="13">
        <v>0.72499999999999998</v>
      </c>
      <c r="F14" s="14">
        <f>B$7*E14</f>
        <v>12121037.924999999</v>
      </c>
      <c r="G14" s="13">
        <v>0.7</v>
      </c>
      <c r="H14" s="14">
        <f>B$7*G14</f>
        <v>11703071.1</v>
      </c>
    </row>
    <row r="15" spans="1:8" ht="15.75" x14ac:dyDescent="0.25">
      <c r="A15" s="1" t="s">
        <v>9</v>
      </c>
      <c r="B15" s="1"/>
      <c r="C15" s="13">
        <v>0.15</v>
      </c>
      <c r="D15" s="14">
        <f>B$7*C15</f>
        <v>2507800.9499999997</v>
      </c>
      <c r="E15" s="13">
        <v>0.15</v>
      </c>
      <c r="F15" s="14">
        <f>B$7*E15</f>
        <v>2507800.9499999997</v>
      </c>
      <c r="G15" s="13">
        <v>0.15</v>
      </c>
      <c r="H15" s="14">
        <f>B$7*G15</f>
        <v>2507800.9499999997</v>
      </c>
    </row>
    <row r="16" spans="1:8" ht="15.75" x14ac:dyDescent="0.25">
      <c r="A16" s="1" t="s">
        <v>10</v>
      </c>
      <c r="B16" s="1"/>
      <c r="C16" s="13">
        <f>1-C14-C15</f>
        <v>0.1</v>
      </c>
      <c r="D16" s="14">
        <f>B$7*C16</f>
        <v>1671867.3</v>
      </c>
      <c r="E16" s="13">
        <f>1-E14-E15</f>
        <v>0.12500000000000003</v>
      </c>
      <c r="F16" s="14">
        <f>B$7*E16</f>
        <v>2089834.1250000005</v>
      </c>
      <c r="G16" s="13">
        <f>1-G14-G15</f>
        <v>0.15000000000000005</v>
      </c>
      <c r="H16" s="14">
        <f>B$7*G16</f>
        <v>2507800.9500000007</v>
      </c>
    </row>
    <row r="18" ht="15.75" x14ac:dyDescent="0.25"/>
    <row r="1048575" ht="12.75" customHeight="1" x14ac:dyDescent="0.25"/>
    <row r="1048576" ht="12.75" customHeight="1" x14ac:dyDescent="0.25"/>
  </sheetData>
  <mergeCells count="7">
    <mergeCell ref="A15:B15"/>
    <mergeCell ref="A16:B16"/>
    <mergeCell ref="C12:D12"/>
    <mergeCell ref="E12:F12"/>
    <mergeCell ref="G12:H12"/>
    <mergeCell ref="A13:B13"/>
    <mergeCell ref="A14:B14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1048576"/>
  <sheetViews>
    <sheetView topLeftCell="B1" zoomScaleNormal="100" workbookViewId="0">
      <selection activeCell="F10" sqref="F10"/>
    </sheetView>
  </sheetViews>
  <sheetFormatPr defaultColWidth="8.625" defaultRowHeight="15" customHeight="1" x14ac:dyDescent="0.25"/>
  <cols>
    <col min="1" max="1" width="9.125" style="4" hidden="1" customWidth="1"/>
    <col min="2" max="2" width="22.75" style="4" customWidth="1"/>
    <col min="3" max="3" width="43.375" style="4" customWidth="1"/>
    <col min="4" max="4" width="30.375" style="4" customWidth="1"/>
    <col min="6" max="6" width="18.5" style="4" customWidth="1"/>
    <col min="7" max="7" width="18" style="4" customWidth="1"/>
    <col min="8" max="8" width="18.125" style="4" customWidth="1"/>
    <col min="16383" max="16384" width="10.5" style="4" customWidth="1"/>
  </cols>
  <sheetData>
    <row r="1" spans="1:8" ht="54" x14ac:dyDescent="0.25">
      <c r="A1" s="4" t="s">
        <v>11</v>
      </c>
      <c r="B1" s="15" t="s">
        <v>12</v>
      </c>
      <c r="C1" s="15" t="s">
        <v>13</v>
      </c>
      <c r="D1" s="15" t="s">
        <v>14</v>
      </c>
      <c r="E1" s="15" t="s">
        <v>6</v>
      </c>
      <c r="F1" s="15" t="s">
        <v>15</v>
      </c>
      <c r="G1" s="15" t="s">
        <v>16</v>
      </c>
      <c r="H1" s="15" t="s">
        <v>17</v>
      </c>
    </row>
    <row r="2" spans="1:8" ht="31.5" x14ac:dyDescent="0.25">
      <c r="A2" s="4" t="e">
        <f>CONCATENATE(C2,#REF!)</f>
        <v>#REF!</v>
      </c>
      <c r="B2" s="16" t="s">
        <v>18</v>
      </c>
      <c r="C2" s="17" t="s">
        <v>19</v>
      </c>
      <c r="D2" s="18">
        <v>1511323.875</v>
      </c>
      <c r="E2" s="19">
        <f t="shared" ref="E2:E8" si="0">D2/SUM(D$2:D$8)</f>
        <v>0.19220403938939862</v>
      </c>
      <c r="F2" s="18">
        <f>'00-BUDGET'!D$14*E2</f>
        <v>2410047.3628728562</v>
      </c>
      <c r="G2" s="18">
        <f>'00-BUDGET'!F$14*E2</f>
        <v>2329712.4507770943</v>
      </c>
      <c r="H2" s="18">
        <f>'00-BUDGET'!H$14*E2</f>
        <v>2249377.5386813325</v>
      </c>
    </row>
    <row r="3" spans="1:8" ht="15.75" x14ac:dyDescent="0.25">
      <c r="A3" s="4" t="e">
        <f>CONCATENATE(C3,#REF!)</f>
        <v>#REF!</v>
      </c>
      <c r="B3" s="16" t="s">
        <v>20</v>
      </c>
      <c r="C3" s="17" t="s">
        <v>21</v>
      </c>
      <c r="D3" s="18">
        <v>1040318.58</v>
      </c>
      <c r="E3" s="19">
        <f t="shared" si="0"/>
        <v>0.13230349671267069</v>
      </c>
      <c r="F3" s="18">
        <f>'00-BUDGET'!D$14*E3</f>
        <v>1658954.1737217873</v>
      </c>
      <c r="G3" s="18">
        <f>'00-BUDGET'!F$14*E3</f>
        <v>1603655.7012643942</v>
      </c>
      <c r="H3" s="18">
        <f>'00-BUDGET'!H$14*E3</f>
        <v>1548357.2288070014</v>
      </c>
    </row>
    <row r="4" spans="1:8" ht="31.5" x14ac:dyDescent="0.25">
      <c r="A4" s="4" t="e">
        <f>CONCATENATE(C4,#REF!)</f>
        <v>#REF!</v>
      </c>
      <c r="B4" s="16" t="s">
        <v>18</v>
      </c>
      <c r="C4" s="17" t="s">
        <v>22</v>
      </c>
      <c r="D4" s="18">
        <v>215979.85</v>
      </c>
      <c r="E4" s="19">
        <f t="shared" si="0"/>
        <v>2.7467441151034822E-2</v>
      </c>
      <c r="F4" s="18">
        <f>'00-BUDGET'!D$14*E4</f>
        <v>344414.37506317109</v>
      </c>
      <c r="G4" s="18">
        <f>'00-BUDGET'!F$14*E4</f>
        <v>332933.89589439868</v>
      </c>
      <c r="H4" s="18">
        <f>'00-BUDGET'!H$14*E4</f>
        <v>321453.41672562633</v>
      </c>
    </row>
    <row r="5" spans="1:8" ht="26.85" customHeight="1" x14ac:dyDescent="0.25">
      <c r="A5" s="4" t="e">
        <f>CONCATENATE(C5,#REF!)</f>
        <v>#REF!</v>
      </c>
      <c r="B5" s="16" t="s">
        <v>23</v>
      </c>
      <c r="C5" s="17" t="s">
        <v>24</v>
      </c>
      <c r="D5" s="18">
        <v>794981.48</v>
      </c>
      <c r="E5" s="19">
        <f t="shared" si="0"/>
        <v>0.10110251960107651</v>
      </c>
      <c r="F5" s="18">
        <f>'00-BUDGET'!D$14*E5</f>
        <v>1267724.9735148665</v>
      </c>
      <c r="G5" s="18">
        <f>'00-BUDGET'!F$14*E5</f>
        <v>1225467.4743977042</v>
      </c>
      <c r="H5" s="18">
        <f>'00-BUDGET'!H$14*E5</f>
        <v>1183209.9752805419</v>
      </c>
    </row>
    <row r="6" spans="1:8" ht="31.5" x14ac:dyDescent="0.25">
      <c r="A6" s="4" t="e">
        <f>CONCATENATE(C6,#REF!)</f>
        <v>#REF!</v>
      </c>
      <c r="B6" s="16" t="s">
        <v>25</v>
      </c>
      <c r="C6" s="17" t="s">
        <v>26</v>
      </c>
      <c r="D6" s="18">
        <v>1039243.1</v>
      </c>
      <c r="E6" s="19">
        <f t="shared" si="0"/>
        <v>0.13216672152920281</v>
      </c>
      <c r="F6" s="18">
        <f>'00-BUDGET'!D$14*E6</f>
        <v>1657239.1490466013</v>
      </c>
      <c r="G6" s="18">
        <f>'00-BUDGET'!F$14*E6</f>
        <v>1601997.8440783811</v>
      </c>
      <c r="H6" s="18">
        <f>'00-BUDGET'!H$14*E6</f>
        <v>1546756.5391101611</v>
      </c>
    </row>
    <row r="7" spans="1:8" ht="31.5" x14ac:dyDescent="0.25">
      <c r="A7" s="4" t="e">
        <f>CONCATENATE(C7,#REF!)</f>
        <v>#REF!</v>
      </c>
      <c r="B7" s="16" t="s">
        <v>20</v>
      </c>
      <c r="C7" s="17" t="s">
        <v>27</v>
      </c>
      <c r="D7" s="18">
        <v>2839070.15</v>
      </c>
      <c r="E7" s="19">
        <f t="shared" si="0"/>
        <v>0.36106142433557853</v>
      </c>
      <c r="F7" s="18">
        <f>'00-BUDGET'!D$14*E7</f>
        <v>4527350.9147855844</v>
      </c>
      <c r="G7" s="18">
        <f>'00-BUDGET'!F$14*E7</f>
        <v>4376439.217626065</v>
      </c>
      <c r="H7" s="18">
        <f>'00-BUDGET'!H$14*E7</f>
        <v>4225527.5204665456</v>
      </c>
    </row>
    <row r="8" spans="1:8" ht="15.75" x14ac:dyDescent="0.25">
      <c r="A8" s="4" t="e">
        <f>CONCATENATE(C8,#REF!)</f>
        <v>#REF!</v>
      </c>
      <c r="B8" s="16" t="s">
        <v>28</v>
      </c>
      <c r="C8" s="17" t="s">
        <v>29</v>
      </c>
      <c r="D8" s="18">
        <v>422205.3</v>
      </c>
      <c r="E8" s="19">
        <f t="shared" si="0"/>
        <v>5.3694357281038031E-2</v>
      </c>
      <c r="F8" s="18">
        <f>'00-BUDGET'!D$14*E8</f>
        <v>673273.800995133</v>
      </c>
      <c r="G8" s="18">
        <f>'00-BUDGET'!F$14*E8</f>
        <v>650831.34096196177</v>
      </c>
      <c r="H8" s="18">
        <f>'00-BUDGET'!H$14*E8</f>
        <v>628388.88092879078</v>
      </c>
    </row>
    <row r="10" spans="1:8" ht="15.75" x14ac:dyDescent="0.25"/>
    <row r="1048570" ht="15.75" x14ac:dyDescent="0.25"/>
    <row r="1048571" ht="15.75" x14ac:dyDescent="0.25"/>
    <row r="1048572" ht="15.75" x14ac:dyDescent="0.25"/>
    <row r="1048573" ht="15.75" x14ac:dyDescent="0.25"/>
    <row r="1048574" ht="15.75" x14ac:dyDescent="0.25"/>
    <row r="1048575" ht="15.75" x14ac:dyDescent="0.25"/>
    <row r="1048576" ht="15.75" x14ac:dyDescent="0.25"/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10"/>
  <sheetViews>
    <sheetView topLeftCell="B1" zoomScaleNormal="100" workbookViewId="0">
      <selection activeCell="I2" sqref="I2"/>
    </sheetView>
  </sheetViews>
  <sheetFormatPr defaultColWidth="8.625" defaultRowHeight="15" customHeight="1" x14ac:dyDescent="0.25"/>
  <cols>
    <col min="1" max="1" width="9.125" style="4" hidden="1" customWidth="1"/>
    <col min="2" max="2" width="22.75" style="4" customWidth="1"/>
    <col min="3" max="3" width="43.375" style="4" customWidth="1"/>
    <col min="4" max="5" width="30.375" style="4" customWidth="1"/>
    <col min="6" max="6" width="8.625" style="4"/>
    <col min="7" max="7" width="10.5" style="4" customWidth="1"/>
    <col min="8" max="8" width="18.625" style="4" customWidth="1"/>
    <col min="9" max="9" width="28.25" style="4" customWidth="1"/>
    <col min="16383" max="16384" width="10.5" style="4" customWidth="1"/>
  </cols>
  <sheetData>
    <row r="1" spans="1:9" ht="54" x14ac:dyDescent="0.25">
      <c r="A1" s="4" t="s">
        <v>11</v>
      </c>
      <c r="B1" s="15" t="s">
        <v>12</v>
      </c>
      <c r="C1" s="15" t="s">
        <v>13</v>
      </c>
      <c r="D1" s="15" t="s">
        <v>30</v>
      </c>
      <c r="E1" s="15" t="s">
        <v>31</v>
      </c>
      <c r="F1" s="15" t="s">
        <v>32</v>
      </c>
      <c r="G1" s="15" t="s">
        <v>33</v>
      </c>
      <c r="H1" s="15" t="s">
        <v>34</v>
      </c>
      <c r="I1" s="15" t="s">
        <v>35</v>
      </c>
    </row>
    <row r="2" spans="1:9" ht="31.5" x14ac:dyDescent="0.25">
      <c r="A2" s="4" t="e">
        <f>CONCATENATE(C2,#REF!)</f>
        <v>#REF!</v>
      </c>
      <c r="B2" s="16" t="s">
        <v>18</v>
      </c>
      <c r="C2" s="17" t="s">
        <v>19</v>
      </c>
      <c r="D2" s="20">
        <v>2922555</v>
      </c>
      <c r="E2" s="18">
        <v>3152140</v>
      </c>
      <c r="F2" s="19">
        <f t="shared" ref="F2:G8" si="0">D2/SUM(D$2:D$8)</f>
        <v>0.19103870479176194</v>
      </c>
      <c r="G2" s="19">
        <f t="shared" si="0"/>
        <v>0.20299951957196824</v>
      </c>
      <c r="H2" s="18">
        <f>'00-BUDGET'!D$15*F2</f>
        <v>479087.04536355007</v>
      </c>
      <c r="I2" s="18">
        <f>'00-BUDGET'!D$15*G2</f>
        <v>509082.38803212548</v>
      </c>
    </row>
    <row r="3" spans="1:9" ht="15.75" x14ac:dyDescent="0.25">
      <c r="A3" s="4" t="e">
        <f>CONCATENATE(C3,#REF!)</f>
        <v>#REF!</v>
      </c>
      <c r="B3" s="16" t="s">
        <v>20</v>
      </c>
      <c r="C3" s="17" t="s">
        <v>21</v>
      </c>
      <c r="D3" s="20">
        <v>1448685</v>
      </c>
      <c r="E3" s="18">
        <v>1448685</v>
      </c>
      <c r="F3" s="19">
        <f t="shared" si="0"/>
        <v>9.4696218223867007E-2</v>
      </c>
      <c r="G3" s="19">
        <f t="shared" si="0"/>
        <v>9.3296096940845522E-2</v>
      </c>
      <c r="H3" s="18">
        <f>'00-BUDGET'!D$15*F3</f>
        <v>237479.26602322096</v>
      </c>
      <c r="I3" s="18">
        <f>'00-BUDGET'!D$15*G3</f>
        <v>233968.04053954445</v>
      </c>
    </row>
    <row r="4" spans="1:9" ht="31.5" x14ac:dyDescent="0.25">
      <c r="A4" s="4" t="e">
        <f>CONCATENATE(C4,#REF!)</f>
        <v>#REF!</v>
      </c>
      <c r="B4" s="16" t="s">
        <v>18</v>
      </c>
      <c r="C4" s="17" t="s">
        <v>22</v>
      </c>
      <c r="D4" s="20">
        <v>335800</v>
      </c>
      <c r="E4" s="18">
        <v>335800</v>
      </c>
      <c r="F4" s="19">
        <f t="shared" si="0"/>
        <v>2.1950244587038963E-2</v>
      </c>
      <c r="G4" s="19">
        <f t="shared" si="0"/>
        <v>2.1625701482886846E-2</v>
      </c>
      <c r="H4" s="18">
        <f>'00-BUDGET'!D$15*F4</f>
        <v>55046.844228108661</v>
      </c>
      <c r="I4" s="18">
        <f>'00-BUDGET'!D$15*G4</f>
        <v>54232.954723200033</v>
      </c>
    </row>
    <row r="5" spans="1:9" ht="26.85" customHeight="1" x14ac:dyDescent="0.25">
      <c r="A5" s="4" t="e">
        <f>CONCATENATE(C5,#REF!)</f>
        <v>#REF!</v>
      </c>
      <c r="B5" s="16" t="s">
        <v>23</v>
      </c>
      <c r="C5" s="17" t="s">
        <v>24</v>
      </c>
      <c r="D5" s="20">
        <v>3679200</v>
      </c>
      <c r="E5" s="18">
        <v>3679200</v>
      </c>
      <c r="F5" s="19">
        <f t="shared" si="0"/>
        <v>0.24049833199712253</v>
      </c>
      <c r="G5" s="19">
        <f t="shared" si="0"/>
        <v>0.23694246842119498</v>
      </c>
      <c r="H5" s="18">
        <f>'00-BUDGET'!D$15*F5</f>
        <v>603121.94545579923</v>
      </c>
      <c r="I5" s="18">
        <f>'00-BUDGET'!D$15*G5</f>
        <v>594204.54740201775</v>
      </c>
    </row>
    <row r="6" spans="1:9" ht="31.5" x14ac:dyDescent="0.25">
      <c r="A6" s="4" t="e">
        <f>CONCATENATE(C6,#REF!)</f>
        <v>#REF!</v>
      </c>
      <c r="B6" s="16" t="s">
        <v>25</v>
      </c>
      <c r="C6" s="17" t="s">
        <v>26</v>
      </c>
      <c r="D6" s="20">
        <v>1819160</v>
      </c>
      <c r="E6" s="18">
        <v>1819160</v>
      </c>
      <c r="F6" s="19">
        <f t="shared" si="0"/>
        <v>0.11891306415413282</v>
      </c>
      <c r="G6" s="19">
        <f t="shared" si="0"/>
        <v>0.11715488716381307</v>
      </c>
      <c r="H6" s="18">
        <f>'00-BUDGET'!D$15*F6</f>
        <v>298210.29525314522</v>
      </c>
      <c r="I6" s="18">
        <f>'00-BUDGET'!D$15*G6</f>
        <v>293801.13732655317</v>
      </c>
    </row>
    <row r="7" spans="1:9" ht="31.5" x14ac:dyDescent="0.25">
      <c r="A7" s="4" t="e">
        <f>CONCATENATE(C7,#REF!)</f>
        <v>#REF!</v>
      </c>
      <c r="B7" s="16" t="s">
        <v>20</v>
      </c>
      <c r="C7" s="17" t="s">
        <v>27</v>
      </c>
      <c r="D7" s="20">
        <v>4070835</v>
      </c>
      <c r="E7" s="18">
        <v>4070835</v>
      </c>
      <c r="F7" s="19">
        <f t="shared" si="0"/>
        <v>0.26609834402465382</v>
      </c>
      <c r="G7" s="19">
        <f t="shared" si="0"/>
        <v>0.26216397408007047</v>
      </c>
      <c r="H7" s="18">
        <f>'00-BUDGET'!D$15*F7</f>
        <v>667321.6799384536</v>
      </c>
      <c r="I7" s="18">
        <f>'00-BUDGET'!D$15*G7</f>
        <v>657455.06325377605</v>
      </c>
    </row>
    <row r="8" spans="1:9" ht="15.75" x14ac:dyDescent="0.25">
      <c r="A8" s="4" t="e">
        <f>CONCATENATE(C8,#REF!)</f>
        <v>#REF!</v>
      </c>
      <c r="B8" s="16" t="s">
        <v>28</v>
      </c>
      <c r="C8" s="17" t="s">
        <v>29</v>
      </c>
      <c r="D8" s="20">
        <v>1022000</v>
      </c>
      <c r="E8" s="18">
        <v>1022000</v>
      </c>
      <c r="F8" s="19">
        <f t="shared" si="0"/>
        <v>6.6805092221422932E-2</v>
      </c>
      <c r="G8" s="19">
        <f t="shared" si="0"/>
        <v>6.5817352339220828E-2</v>
      </c>
      <c r="H8" s="18">
        <f>'00-BUDGET'!D$15*F8</f>
        <v>167533.87373772202</v>
      </c>
      <c r="I8" s="18">
        <f>'00-BUDGET'!D$15*G8</f>
        <v>165056.81872278269</v>
      </c>
    </row>
    <row r="10" spans="1:9" ht="15.75" x14ac:dyDescent="0.25">
      <c r="I10" s="11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8576"/>
  <sheetViews>
    <sheetView tabSelected="1" topLeftCell="B1" zoomScaleNormal="100" workbookViewId="0">
      <selection activeCell="D2" sqref="D2"/>
    </sheetView>
  </sheetViews>
  <sheetFormatPr defaultColWidth="8.625" defaultRowHeight="15" customHeight="1" x14ac:dyDescent="0.25"/>
  <cols>
    <col min="1" max="1" width="9.125" style="4" hidden="1" customWidth="1"/>
    <col min="2" max="2" width="11.25" style="4" customWidth="1"/>
    <col min="3" max="3" width="14" style="4" customWidth="1"/>
    <col min="4" max="4" width="41.75" style="4" customWidth="1"/>
    <col min="5" max="5" width="35.625" style="4" customWidth="1"/>
    <col min="6" max="6" width="16.875" style="4" customWidth="1"/>
    <col min="7" max="7" width="16.875" style="4" hidden="1" customWidth="1"/>
    <col min="8" max="8" width="16.25" style="4" customWidth="1"/>
    <col min="10" max="10" width="16" style="4" customWidth="1"/>
    <col min="11" max="11" width="12.5" style="4" customWidth="1"/>
    <col min="12" max="12" width="8.625" style="4"/>
    <col min="14" max="14" width="34.5" style="4" customWidth="1"/>
    <col min="15" max="15" width="39.25" style="4" customWidth="1"/>
    <col min="16" max="16" width="32.25" style="4" customWidth="1"/>
  </cols>
  <sheetData>
    <row r="1" spans="1:16" ht="162" x14ac:dyDescent="0.25">
      <c r="A1" s="4" t="s">
        <v>11</v>
      </c>
      <c r="B1" s="15" t="s">
        <v>12</v>
      </c>
      <c r="C1" s="15" t="s">
        <v>36</v>
      </c>
      <c r="D1" s="15" t="s">
        <v>13</v>
      </c>
      <c r="E1" s="15" t="s">
        <v>74</v>
      </c>
      <c r="F1" s="21" t="s">
        <v>37</v>
      </c>
      <c r="G1" s="21"/>
      <c r="H1" s="21" t="s">
        <v>38</v>
      </c>
      <c r="I1" s="21" t="s">
        <v>39</v>
      </c>
      <c r="J1" s="21" t="s">
        <v>40</v>
      </c>
      <c r="K1" s="21" t="s">
        <v>41</v>
      </c>
      <c r="L1" s="21" t="s">
        <v>42</v>
      </c>
      <c r="M1" s="21" t="s">
        <v>43</v>
      </c>
      <c r="N1" s="21" t="s">
        <v>44</v>
      </c>
      <c r="O1" s="15" t="s">
        <v>45</v>
      </c>
      <c r="P1" s="15" t="s">
        <v>46</v>
      </c>
    </row>
    <row r="2" spans="1:16" ht="75" x14ac:dyDescent="0.25">
      <c r="A2" s="4" t="str">
        <f t="shared" ref="A2:A20" si="0">CONCATENATE(D2,E2)</f>
        <v>CASA EMMAUS - LA CASA DI ANGELA Servizio residenziale per madri tossicodipendenti in gravidanza e/o con bambino</v>
      </c>
      <c r="B2" s="16" t="s">
        <v>18</v>
      </c>
      <c r="C2" s="16" t="s">
        <v>19</v>
      </c>
      <c r="D2" s="16" t="s">
        <v>47</v>
      </c>
      <c r="E2" s="16" t="s">
        <v>48</v>
      </c>
      <c r="F2" s="6">
        <v>7.5018914422396707E-2</v>
      </c>
      <c r="G2" s="22" t="str">
        <f t="shared" ref="G2:G21" si="1">CONCATENATE(B2,E2)</f>
        <v>CARBONIAServizio residenziale per madri tossicodipendenti in gravidanza e/o con bambino</v>
      </c>
      <c r="H2" s="23">
        <f t="shared" ref="H2:H21" si="2">COUNTIF(G$2:G$21,G2)</f>
        <v>1</v>
      </c>
      <c r="I2" s="23">
        <f t="shared" ref="I2:I21" si="3">COUNTIF(E$2:E$21,E2)</f>
        <v>1</v>
      </c>
      <c r="J2" s="6">
        <f t="shared" ref="J2:J21" si="4">IF(1-(H2/I2)=0,1,1-(H2/I2))</f>
        <v>1</v>
      </c>
      <c r="K2" s="6">
        <f t="shared" ref="K2:K21" si="5">AVERAGE(J2,F2)</f>
        <v>0.53750945721119836</v>
      </c>
      <c r="L2" s="6">
        <f>K2/SUM(K$2:K$4,K$6:K$21)</f>
        <v>6.6179996137087055E-2</v>
      </c>
      <c r="M2" s="24">
        <f t="shared" ref="M2:M21" si="6">K2/SUM(K$2:K$21)</f>
        <v>6.2797255235180663E-2</v>
      </c>
      <c r="N2" s="6">
        <f>'00-BUDGET'!D$16*L2</f>
        <v>110644.17145572217</v>
      </c>
      <c r="O2" s="6">
        <f>'00-BUDGET'!F$16*M2</f>
        <v>131235.84694681547</v>
      </c>
      <c r="P2" s="6">
        <f>'00-BUDGET'!H$16*M2</f>
        <v>157483.01633617858</v>
      </c>
    </row>
    <row r="3" spans="1:16" ht="75" x14ac:dyDescent="0.25">
      <c r="A3" s="4" t="str">
        <f t="shared" si="0"/>
        <v>CASA EMMAUS - LA CASA DI ANGELA Servizio residenziale per persone dipendenti da sostanze d'abuso con patologie psichiatriche</v>
      </c>
      <c r="B3" s="16" t="s">
        <v>18</v>
      </c>
      <c r="C3" s="16" t="s">
        <v>19</v>
      </c>
      <c r="D3" s="16" t="s">
        <v>47</v>
      </c>
      <c r="E3" s="16" t="s">
        <v>49</v>
      </c>
      <c r="F3" s="6">
        <v>7.5018914422396707E-2</v>
      </c>
      <c r="G3" s="22" t="str">
        <f t="shared" si="1"/>
        <v>CARBONIAServizio residenziale per persone dipendenti da sostanze d'abuso con patologie psichiatriche</v>
      </c>
      <c r="H3" s="23">
        <f t="shared" si="2"/>
        <v>2</v>
      </c>
      <c r="I3" s="23">
        <f t="shared" si="3"/>
        <v>3</v>
      </c>
      <c r="J3" s="6">
        <f t="shared" si="4"/>
        <v>0.33333333333333337</v>
      </c>
      <c r="K3" s="6">
        <f t="shared" si="5"/>
        <v>0.20417612387786505</v>
      </c>
      <c r="L3" s="6">
        <f>K3/SUM(K$2:K$4,K$6:K$21)</f>
        <v>2.5138860178627945E-2</v>
      </c>
      <c r="M3" s="24">
        <f t="shared" si="6"/>
        <v>2.3853906181692076E-2</v>
      </c>
      <c r="N3" s="6">
        <f>'00-BUDGET'!D$16*L3</f>
        <v>42028.838291920219</v>
      </c>
      <c r="O3" s="6">
        <f>'00-BUDGET'!F$16*M3</f>
        <v>49850.707153048563</v>
      </c>
      <c r="P3" s="6">
        <f>'00-BUDGET'!H$16*M3</f>
        <v>59820.848583658277</v>
      </c>
    </row>
    <row r="4" spans="1:16" ht="75" x14ac:dyDescent="0.25">
      <c r="A4" s="4" t="str">
        <f t="shared" si="0"/>
        <v>CASA EMMAUS - LA CASA DI ANGELA Servizio residenziale terapeutico riabilitativo</v>
      </c>
      <c r="B4" s="16" t="s">
        <v>18</v>
      </c>
      <c r="C4" s="16" t="s">
        <v>19</v>
      </c>
      <c r="D4" s="16" t="s">
        <v>47</v>
      </c>
      <c r="E4" s="16" t="s">
        <v>50</v>
      </c>
      <c r="F4" s="6">
        <v>7.5018914422396707E-2</v>
      </c>
      <c r="G4" s="22" t="str">
        <f t="shared" si="1"/>
        <v>CARBONIAServizio residenziale terapeutico riabilitativo</v>
      </c>
      <c r="H4" s="23">
        <f t="shared" si="2"/>
        <v>2</v>
      </c>
      <c r="I4" s="23">
        <f t="shared" si="3"/>
        <v>6</v>
      </c>
      <c r="J4" s="6">
        <f t="shared" si="4"/>
        <v>0.66666666666666674</v>
      </c>
      <c r="K4" s="6">
        <f t="shared" si="5"/>
        <v>0.37084279054453173</v>
      </c>
      <c r="L4" s="6">
        <f>K4/SUM(K$2:K$4,K$6:K$21)</f>
        <v>4.5659428157857507E-2</v>
      </c>
      <c r="M4" s="24">
        <f t="shared" si="6"/>
        <v>4.3325580708436374E-2</v>
      </c>
      <c r="N4" s="6">
        <f>'00-BUDGET'!D$16*L4</f>
        <v>76336.504873821206</v>
      </c>
      <c r="O4" s="6">
        <f>'00-BUDGET'!F$16*M4</f>
        <v>90543.277049932032</v>
      </c>
      <c r="P4" s="6">
        <f>'00-BUDGET'!H$16*M4</f>
        <v>108651.93245991845</v>
      </c>
    </row>
    <row r="5" spans="1:16" ht="75" x14ac:dyDescent="0.25">
      <c r="A5" s="4" t="str">
        <f t="shared" si="0"/>
        <v>CASA EMMAUS - LA CASA DI ANGELA Servizio Residenziale pedagogico riabilitativo</v>
      </c>
      <c r="B5" s="16" t="s">
        <v>18</v>
      </c>
      <c r="C5" s="16" t="s">
        <v>19</v>
      </c>
      <c r="D5" s="16" t="s">
        <v>47</v>
      </c>
      <c r="E5" s="16" t="s">
        <v>51</v>
      </c>
      <c r="F5" s="6">
        <v>7.5018914422396707E-2</v>
      </c>
      <c r="G5" s="22" t="str">
        <f t="shared" si="1"/>
        <v>CARBONIAServizio Residenziale pedagogico riabilitativo</v>
      </c>
      <c r="H5" s="23">
        <f t="shared" si="2"/>
        <v>1</v>
      </c>
      <c r="I5" s="23">
        <f t="shared" si="3"/>
        <v>5</v>
      </c>
      <c r="J5" s="6">
        <f t="shared" si="4"/>
        <v>0.8</v>
      </c>
      <c r="K5" s="6">
        <f t="shared" si="5"/>
        <v>0.43750945721119838</v>
      </c>
      <c r="L5" s="6"/>
      <c r="M5" s="24">
        <f t="shared" si="6"/>
        <v>5.111425051913409E-2</v>
      </c>
      <c r="N5" s="6">
        <f>'00-BUDGET'!D$16*L5</f>
        <v>0</v>
      </c>
      <c r="O5" s="6">
        <f>'00-BUDGET'!F$16*M5</f>
        <v>106820.30500868541</v>
      </c>
      <c r="P5" s="6">
        <f>'00-BUDGET'!H$16*M5</f>
        <v>128184.3660104225</v>
      </c>
    </row>
    <row r="6" spans="1:16" ht="75" x14ac:dyDescent="0.25">
      <c r="A6" s="4" t="str">
        <f t="shared" si="0"/>
        <v>CASA EMMAUS - SAN LORENZOServizio residenziale terapeutico riabilitativo</v>
      </c>
      <c r="B6" s="16" t="s">
        <v>18</v>
      </c>
      <c r="C6" s="16" t="s">
        <v>19</v>
      </c>
      <c r="D6" s="16" t="s">
        <v>52</v>
      </c>
      <c r="E6" s="16" t="s">
        <v>50</v>
      </c>
      <c r="F6" s="6">
        <v>7.5018914422396707E-2</v>
      </c>
      <c r="G6" s="22" t="str">
        <f t="shared" si="1"/>
        <v>CARBONIAServizio residenziale terapeutico riabilitativo</v>
      </c>
      <c r="H6" s="23">
        <f t="shared" si="2"/>
        <v>2</v>
      </c>
      <c r="I6" s="23">
        <f t="shared" si="3"/>
        <v>6</v>
      </c>
      <c r="J6" s="6">
        <f t="shared" si="4"/>
        <v>0.66666666666666674</v>
      </c>
      <c r="K6" s="6">
        <f t="shared" si="5"/>
        <v>0.37084279054453173</v>
      </c>
      <c r="L6" s="6">
        <f t="shared" ref="L6:L21" si="7">K6/SUM(K$2:K$4,K$6:K$21)</f>
        <v>4.5659428157857507E-2</v>
      </c>
      <c r="M6" s="24">
        <f t="shared" si="6"/>
        <v>4.3325580708436374E-2</v>
      </c>
      <c r="N6" s="6">
        <f>'00-BUDGET'!D$16*L6</f>
        <v>76336.504873821206</v>
      </c>
      <c r="O6" s="6">
        <f>'00-BUDGET'!F$16*M6</f>
        <v>90543.277049932032</v>
      </c>
      <c r="P6" s="6">
        <f>'00-BUDGET'!H$16*M6</f>
        <v>108651.93245991845</v>
      </c>
    </row>
    <row r="7" spans="1:16" ht="75" x14ac:dyDescent="0.25">
      <c r="A7" s="4" t="str">
        <f t="shared" si="0"/>
        <v>CASA EMMAUS - SAN LORENZOServizio residenziale per persone dipendenti da sostanze d'abuso con patologie psichiatriche</v>
      </c>
      <c r="B7" s="16" t="s">
        <v>18</v>
      </c>
      <c r="C7" s="16" t="s">
        <v>19</v>
      </c>
      <c r="D7" s="16" t="s">
        <v>52</v>
      </c>
      <c r="E7" s="16" t="s">
        <v>49</v>
      </c>
      <c r="F7" s="6">
        <v>7.5018914422396707E-2</v>
      </c>
      <c r="G7" s="22" t="str">
        <f t="shared" si="1"/>
        <v>CARBONIAServizio residenziale per persone dipendenti da sostanze d'abuso con patologie psichiatriche</v>
      </c>
      <c r="H7" s="23">
        <f t="shared" si="2"/>
        <v>2</v>
      </c>
      <c r="I7" s="23">
        <f t="shared" si="3"/>
        <v>3</v>
      </c>
      <c r="J7" s="6">
        <f t="shared" si="4"/>
        <v>0.33333333333333337</v>
      </c>
      <c r="K7" s="6">
        <f t="shared" si="5"/>
        <v>0.20417612387786505</v>
      </c>
      <c r="L7" s="6">
        <f t="shared" si="7"/>
        <v>2.5138860178627945E-2</v>
      </c>
      <c r="M7" s="24">
        <f t="shared" si="6"/>
        <v>2.3853906181692076E-2</v>
      </c>
      <c r="N7" s="6">
        <f>'00-BUDGET'!D$16*L7</f>
        <v>42028.838291920219</v>
      </c>
      <c r="O7" s="6">
        <f>'00-BUDGET'!F$16*M7</f>
        <v>49850.707153048563</v>
      </c>
      <c r="P7" s="6">
        <f>'00-BUDGET'!H$16*M7</f>
        <v>59820.848583658277</v>
      </c>
    </row>
    <row r="8" spans="1:16" ht="45" x14ac:dyDescent="0.25">
      <c r="A8" s="4" t="str">
        <f t="shared" si="0"/>
        <v xml:space="preserve">ASSOCIAZIONE DIANOVA ONLUS_ORTACESUSCentro residenziale di pronta accoglienza, osservazione e orientamento </v>
      </c>
      <c r="B8" s="16" t="s">
        <v>20</v>
      </c>
      <c r="C8" s="16" t="s">
        <v>21</v>
      </c>
      <c r="D8" s="16" t="s">
        <v>53</v>
      </c>
      <c r="E8" s="16" t="s">
        <v>54</v>
      </c>
      <c r="F8" s="6">
        <v>0.34343362439390401</v>
      </c>
      <c r="G8" s="22" t="str">
        <f t="shared" si="1"/>
        <v xml:space="preserve">CAGLIARICentro residenziale di pronta accoglienza, osservazione e orientamento </v>
      </c>
      <c r="H8" s="23">
        <f t="shared" si="2"/>
        <v>2</v>
      </c>
      <c r="I8" s="23">
        <f t="shared" si="3"/>
        <v>3</v>
      </c>
      <c r="J8" s="6">
        <f t="shared" si="4"/>
        <v>0.33333333333333337</v>
      </c>
      <c r="K8" s="6">
        <f t="shared" si="5"/>
        <v>0.33838347886361869</v>
      </c>
      <c r="L8" s="6">
        <f t="shared" si="7"/>
        <v>4.1662927086414447E-2</v>
      </c>
      <c r="M8" s="24">
        <f t="shared" si="6"/>
        <v>3.9533357793959049E-2</v>
      </c>
      <c r="N8" s="6">
        <f>'00-BUDGET'!D$16*L8</f>
        <v>69654.885418060585</v>
      </c>
      <c r="O8" s="6">
        <f>'00-BUDGET'!F$16*M8</f>
        <v>82618.160193650358</v>
      </c>
      <c r="P8" s="6">
        <f>'00-BUDGET'!H$16*M8</f>
        <v>99141.792232380438</v>
      </c>
    </row>
    <row r="9" spans="1:16" ht="30" x14ac:dyDescent="0.25">
      <c r="A9" s="4" t="str">
        <f t="shared" si="0"/>
        <v>ASSOCIAZIONE DIANOVA ONLUS_ORTACESUSServizio residenziale pedagogico riabilitativo</v>
      </c>
      <c r="B9" s="16" t="s">
        <v>20</v>
      </c>
      <c r="C9" s="16" t="s">
        <v>21</v>
      </c>
      <c r="D9" s="16" t="s">
        <v>53</v>
      </c>
      <c r="E9" s="16" t="s">
        <v>55</v>
      </c>
      <c r="F9" s="6">
        <v>0.34343362439390401</v>
      </c>
      <c r="G9" s="22" t="str">
        <f t="shared" si="1"/>
        <v>CAGLIARIServizio residenziale pedagogico riabilitativo</v>
      </c>
      <c r="H9" s="23">
        <f t="shared" si="2"/>
        <v>1</v>
      </c>
      <c r="I9" s="23">
        <f t="shared" si="3"/>
        <v>5</v>
      </c>
      <c r="J9" s="6">
        <f t="shared" si="4"/>
        <v>0.8</v>
      </c>
      <c r="K9" s="6">
        <f t="shared" si="5"/>
        <v>0.57171681219695203</v>
      </c>
      <c r="L9" s="6">
        <f t="shared" si="7"/>
        <v>7.0391722257335823E-2</v>
      </c>
      <c r="M9" s="24">
        <f t="shared" si="6"/>
        <v>6.6793702131401067E-2</v>
      </c>
      <c r="N9" s="6">
        <f>'00-BUDGET'!D$16*L9</f>
        <v>117685.61863272195</v>
      </c>
      <c r="O9" s="6">
        <f>'00-BUDGET'!F$16*M9</f>
        <v>139587.75804928722</v>
      </c>
      <c r="P9" s="6">
        <f>'00-BUDGET'!H$16*M9</f>
        <v>167505.30965914467</v>
      </c>
    </row>
    <row r="10" spans="1:16" ht="30" x14ac:dyDescent="0.25">
      <c r="A10" s="4" t="str">
        <f t="shared" si="0"/>
        <v>ASSOCIAZIONE DIANOVA ONLUS_ORTACESUSServizio residenziale terapeutico riabilitativo</v>
      </c>
      <c r="B10" s="16" t="s">
        <v>20</v>
      </c>
      <c r="C10" s="16" t="s">
        <v>21</v>
      </c>
      <c r="D10" s="16" t="s">
        <v>53</v>
      </c>
      <c r="E10" s="16" t="s">
        <v>50</v>
      </c>
      <c r="F10" s="6">
        <v>0.34343362439390401</v>
      </c>
      <c r="G10" s="22" t="str">
        <f t="shared" si="1"/>
        <v>CAGLIARIServizio residenziale terapeutico riabilitativo</v>
      </c>
      <c r="H10" s="23">
        <f t="shared" si="2"/>
        <v>3</v>
      </c>
      <c r="I10" s="23">
        <f t="shared" si="3"/>
        <v>6</v>
      </c>
      <c r="J10" s="6">
        <f t="shared" si="4"/>
        <v>0.5</v>
      </c>
      <c r="K10" s="6">
        <f t="shared" si="5"/>
        <v>0.42171681219695201</v>
      </c>
      <c r="L10" s="6">
        <f t="shared" si="7"/>
        <v>5.1923211076029221E-2</v>
      </c>
      <c r="M10" s="24">
        <f t="shared" si="6"/>
        <v>4.9269195057331197E-2</v>
      </c>
      <c r="N10" s="6">
        <f>'00-BUDGET'!D$16*L10</f>
        <v>86808.718709011067</v>
      </c>
      <c r="O10" s="6">
        <f>'00-BUDGET'!F$16*M10</f>
        <v>102964.4451420921</v>
      </c>
      <c r="P10" s="6">
        <f>'00-BUDGET'!H$16*M10</f>
        <v>123557.33417051051</v>
      </c>
    </row>
    <row r="11" spans="1:16" ht="60" x14ac:dyDescent="0.25">
      <c r="A11" s="4" t="str">
        <f t="shared" si="0"/>
        <v xml:space="preserve">ASSOCIAZIONE CENTRO DI ACCOGLIENZA DON VITO SGUOTTIServizio residenziale per persone dipendenti da alcol </v>
      </c>
      <c r="B11" s="16" t="s">
        <v>18</v>
      </c>
      <c r="C11" s="16" t="s">
        <v>22</v>
      </c>
      <c r="D11" s="16" t="s">
        <v>56</v>
      </c>
      <c r="E11" s="16" t="s">
        <v>57</v>
      </c>
      <c r="F11" s="6">
        <v>7.5018914422396707E-2</v>
      </c>
      <c r="G11" s="22" t="str">
        <f t="shared" si="1"/>
        <v xml:space="preserve">CARBONIAServizio residenziale per persone dipendenti da alcol </v>
      </c>
      <c r="H11" s="23">
        <f t="shared" si="2"/>
        <v>1</v>
      </c>
      <c r="I11" s="23">
        <f t="shared" si="3"/>
        <v>1</v>
      </c>
      <c r="J11" s="6">
        <f t="shared" si="4"/>
        <v>1</v>
      </c>
      <c r="K11" s="6">
        <f t="shared" si="5"/>
        <v>0.53750945721119836</v>
      </c>
      <c r="L11" s="6">
        <f t="shared" si="7"/>
        <v>6.6179996137087055E-2</v>
      </c>
      <c r="M11" s="24">
        <f t="shared" si="6"/>
        <v>6.2797255235180663E-2</v>
      </c>
      <c r="N11" s="6">
        <f>'00-BUDGET'!D$16*L11</f>
        <v>110644.17145572217</v>
      </c>
      <c r="O11" s="6">
        <f>'00-BUDGET'!F$16*M11</f>
        <v>131235.84694681547</v>
      </c>
      <c r="P11" s="6">
        <f>'00-BUDGET'!H$16*M11</f>
        <v>157483.01633617858</v>
      </c>
    </row>
    <row r="12" spans="1:16" ht="60" x14ac:dyDescent="0.25">
      <c r="A12" s="4" t="str">
        <f t="shared" si="0"/>
        <v>COOPERATIVA SOCIALE PROMOZIONE UMANA  - MARIA MADRE DEI POVERI Servizio residenziale pedagogico riabilitativo</v>
      </c>
      <c r="B12" s="16" t="s">
        <v>23</v>
      </c>
      <c r="C12" s="16" t="s">
        <v>24</v>
      </c>
      <c r="D12" s="16" t="s">
        <v>58</v>
      </c>
      <c r="E12" s="16" t="s">
        <v>55</v>
      </c>
      <c r="F12" s="6">
        <v>0.20051177607843701</v>
      </c>
      <c r="G12" s="22" t="str">
        <f t="shared" si="1"/>
        <v>SASSARIServizio residenziale pedagogico riabilitativo</v>
      </c>
      <c r="H12" s="23">
        <f t="shared" si="2"/>
        <v>1</v>
      </c>
      <c r="I12" s="23">
        <f t="shared" si="3"/>
        <v>5</v>
      </c>
      <c r="J12" s="6">
        <f t="shared" si="4"/>
        <v>0.8</v>
      </c>
      <c r="K12" s="6">
        <f t="shared" si="5"/>
        <v>0.5002558880392185</v>
      </c>
      <c r="L12" s="6">
        <f t="shared" si="7"/>
        <v>6.1593209745111795E-2</v>
      </c>
      <c r="M12" s="24">
        <f t="shared" si="6"/>
        <v>5.8444918991922584E-2</v>
      </c>
      <c r="N12" s="6">
        <f>'00-BUDGET'!D$16*L12</f>
        <v>102975.67327489375</v>
      </c>
      <c r="O12" s="6">
        <f>'00-BUDGET'!F$16*M12</f>
        <v>122140.18614218045</v>
      </c>
      <c r="P12" s="6">
        <f>'00-BUDGET'!H$16*M12</f>
        <v>146568.22337061653</v>
      </c>
    </row>
    <row r="13" spans="1:16" ht="75" x14ac:dyDescent="0.25">
      <c r="A13" s="4" t="str">
        <f t="shared" si="0"/>
        <v>MADONNA DEL ROSARIO - COMUNITA' TERAPEUTICA SAN MICHELE Servizio residenziale pedagogico riabilitativo</v>
      </c>
      <c r="B13" s="16" t="s">
        <v>59</v>
      </c>
      <c r="C13" s="16" t="s">
        <v>26</v>
      </c>
      <c r="D13" s="16" t="s">
        <v>60</v>
      </c>
      <c r="E13" s="16" t="s">
        <v>55</v>
      </c>
      <c r="F13" s="6">
        <v>5.8371702890174099E-2</v>
      </c>
      <c r="G13" s="22" t="str">
        <f t="shared" si="1"/>
        <v>SANLURIServizio residenziale pedagogico riabilitativo</v>
      </c>
      <c r="H13" s="23">
        <f t="shared" si="2"/>
        <v>1</v>
      </c>
      <c r="I13" s="23">
        <f t="shared" si="3"/>
        <v>5</v>
      </c>
      <c r="J13" s="6">
        <f t="shared" si="4"/>
        <v>0.8</v>
      </c>
      <c r="K13" s="6">
        <f t="shared" si="5"/>
        <v>0.42918585144508709</v>
      </c>
      <c r="L13" s="6">
        <f t="shared" si="7"/>
        <v>5.2842824641814556E-2</v>
      </c>
      <c r="M13" s="24">
        <f t="shared" si="6"/>
        <v>5.0141803264934184E-2</v>
      </c>
      <c r="N13" s="6">
        <f>'00-BUDGET'!D$16*L13</f>
        <v>88346.190558283968</v>
      </c>
      <c r="O13" s="6">
        <f>'00-BUDGET'!F$16*M13</f>
        <v>104788.0515520959</v>
      </c>
      <c r="P13" s="6">
        <f>'00-BUDGET'!H$16*M13</f>
        <v>125745.66186251509</v>
      </c>
    </row>
    <row r="14" spans="1:16" ht="75" x14ac:dyDescent="0.25">
      <c r="A14" s="4" t="str">
        <f t="shared" si="0"/>
        <v xml:space="preserve">MADONNA DEL ROSARIO - COMUNITA' DI PRONTA ACCOGLIENZA IL SALVATORE Centro residenziale di pronta accoglienza, osservazione e orientamento </v>
      </c>
      <c r="B14" s="16" t="s">
        <v>59</v>
      </c>
      <c r="C14" s="16" t="s">
        <v>26</v>
      </c>
      <c r="D14" s="16" t="s">
        <v>61</v>
      </c>
      <c r="E14" s="16" t="s">
        <v>54</v>
      </c>
      <c r="F14" s="6">
        <v>5.8371702890174099E-2</v>
      </c>
      <c r="G14" s="22" t="str">
        <f t="shared" si="1"/>
        <v xml:space="preserve">SANLURICentro residenziale di pronta accoglienza, osservazione e orientamento </v>
      </c>
      <c r="H14" s="23">
        <f t="shared" si="2"/>
        <v>1</v>
      </c>
      <c r="I14" s="23">
        <f t="shared" si="3"/>
        <v>3</v>
      </c>
      <c r="J14" s="6">
        <f t="shared" si="4"/>
        <v>0.66666666666666674</v>
      </c>
      <c r="K14" s="6">
        <f t="shared" si="5"/>
        <v>0.36251918477842043</v>
      </c>
      <c r="L14" s="6">
        <f t="shared" si="7"/>
        <v>4.4634597450122743E-2</v>
      </c>
      <c r="M14" s="24">
        <f t="shared" si="6"/>
        <v>4.2353133454236469E-2</v>
      </c>
      <c r="N14" s="6">
        <f>'00-BUDGET'!D$16*L14</f>
        <v>74623.1239255236</v>
      </c>
      <c r="O14" s="6">
        <f>'00-BUDGET'!F$16*M14</f>
        <v>88511.023593342514</v>
      </c>
      <c r="P14" s="6">
        <f>'00-BUDGET'!H$16*M14</f>
        <v>106213.22831201102</v>
      </c>
    </row>
    <row r="15" spans="1:16" ht="75" x14ac:dyDescent="0.25">
      <c r="A15" s="4" t="str">
        <f t="shared" si="0"/>
        <v>MADONNA DEL ROSARIO - COMUNITA' TERAPEUTICA ALLE SORGENTI Servizio residenziale terapeutico riabilitativo</v>
      </c>
      <c r="B15" s="16" t="s">
        <v>25</v>
      </c>
      <c r="C15" s="16" t="s">
        <v>26</v>
      </c>
      <c r="D15" s="16" t="s">
        <v>62</v>
      </c>
      <c r="E15" s="16" t="s">
        <v>50</v>
      </c>
      <c r="F15" s="6">
        <v>9.6021640241071501E-2</v>
      </c>
      <c r="G15" s="22" t="str">
        <f t="shared" si="1"/>
        <v>ORISTANOServizio residenziale terapeutico riabilitativo</v>
      </c>
      <c r="H15" s="23">
        <f t="shared" si="2"/>
        <v>1</v>
      </c>
      <c r="I15" s="23">
        <f t="shared" si="3"/>
        <v>6</v>
      </c>
      <c r="J15" s="6">
        <f t="shared" si="4"/>
        <v>0.83333333333333337</v>
      </c>
      <c r="K15" s="6">
        <f t="shared" si="5"/>
        <v>0.46467748678720244</v>
      </c>
      <c r="L15" s="6">
        <f t="shared" si="7"/>
        <v>5.7212675736205983E-2</v>
      </c>
      <c r="M15" s="24">
        <f t="shared" si="6"/>
        <v>5.4288292695755573E-2</v>
      </c>
      <c r="N15" s="6">
        <f>'00-BUDGET'!D$16*L15</f>
        <v>95652.001708866213</v>
      </c>
      <c r="O15" s="6">
        <f>'00-BUDGET'!F$16*M15</f>
        <v>113453.52666357826</v>
      </c>
      <c r="P15" s="6">
        <f>'00-BUDGET'!H$16*M15</f>
        <v>136144.23199629394</v>
      </c>
    </row>
    <row r="16" spans="1:16" ht="75" x14ac:dyDescent="0.25">
      <c r="A16" s="4" t="str">
        <f t="shared" si="0"/>
        <v xml:space="preserve">ASSOCIAZIONE L'AQUILONE - “SU MASU” -  ElmasCentro residenziale di pronta accoglienza, osservazione e orientamento </v>
      </c>
      <c r="B16" s="16" t="s">
        <v>20</v>
      </c>
      <c r="C16" s="16" t="s">
        <v>27</v>
      </c>
      <c r="D16" s="16" t="s">
        <v>63</v>
      </c>
      <c r="E16" s="16" t="s">
        <v>54</v>
      </c>
      <c r="F16" s="6">
        <v>0.34343362439390401</v>
      </c>
      <c r="G16" s="22" t="str">
        <f t="shared" si="1"/>
        <v xml:space="preserve">CAGLIARICentro residenziale di pronta accoglienza, osservazione e orientamento </v>
      </c>
      <c r="H16" s="23">
        <f t="shared" si="2"/>
        <v>2</v>
      </c>
      <c r="I16" s="23">
        <f t="shared" si="3"/>
        <v>3</v>
      </c>
      <c r="J16" s="6">
        <f t="shared" si="4"/>
        <v>0.33333333333333337</v>
      </c>
      <c r="K16" s="6">
        <f t="shared" si="5"/>
        <v>0.33838347886361869</v>
      </c>
      <c r="L16" s="6">
        <f t="shared" si="7"/>
        <v>4.1662927086414447E-2</v>
      </c>
      <c r="M16" s="24">
        <f t="shared" si="6"/>
        <v>3.9533357793959049E-2</v>
      </c>
      <c r="N16" s="6">
        <f>'00-BUDGET'!D$16*L16</f>
        <v>69654.885418060585</v>
      </c>
      <c r="O16" s="6">
        <f>'00-BUDGET'!F$16*M16</f>
        <v>82618.160193650358</v>
      </c>
      <c r="P16" s="6">
        <f>'00-BUDGET'!H$16*M16</f>
        <v>99141.792232380438</v>
      </c>
    </row>
    <row r="17" spans="1:16" ht="75" x14ac:dyDescent="0.25">
      <c r="A17" s="4" t="str">
        <f t="shared" si="0"/>
        <v>ASSOCIAZIONE L'AQUILONE - LOC. FLUMINI DI QUARTU S.E.Servizio residenziale per persone dipendenti da sostanze d'abuso con patologie psichiatriche</v>
      </c>
      <c r="B17" s="16" t="s">
        <v>20</v>
      </c>
      <c r="C17" s="16" t="s">
        <v>27</v>
      </c>
      <c r="D17" s="16" t="s">
        <v>64</v>
      </c>
      <c r="E17" s="16" t="s">
        <v>49</v>
      </c>
      <c r="F17" s="6">
        <v>0.34343362439390401</v>
      </c>
      <c r="G17" s="22" t="str">
        <f t="shared" si="1"/>
        <v>CAGLIARIServizio residenziale per persone dipendenti da sostanze d'abuso con patologie psichiatriche</v>
      </c>
      <c r="H17" s="23">
        <f t="shared" si="2"/>
        <v>1</v>
      </c>
      <c r="I17" s="23">
        <f t="shared" si="3"/>
        <v>3</v>
      </c>
      <c r="J17" s="6">
        <f t="shared" si="4"/>
        <v>0.66666666666666674</v>
      </c>
      <c r="K17" s="6">
        <f t="shared" si="5"/>
        <v>0.50505014553028538</v>
      </c>
      <c r="L17" s="6">
        <f t="shared" si="7"/>
        <v>6.2183495065644002E-2</v>
      </c>
      <c r="M17" s="24">
        <f t="shared" si="6"/>
        <v>5.9005032320703345E-2</v>
      </c>
      <c r="N17" s="6">
        <f>'00-BUDGET'!D$16*L17</f>
        <v>103962.55199996156</v>
      </c>
      <c r="O17" s="6">
        <f>'00-BUDGET'!F$16*M17</f>
        <v>123310.73009053382</v>
      </c>
      <c r="P17" s="6">
        <f>'00-BUDGET'!H$16*M17</f>
        <v>147972.8761086406</v>
      </c>
    </row>
    <row r="18" spans="1:16" ht="236.25" x14ac:dyDescent="0.25">
      <c r="A18" s="25" t="str">
        <f t="shared" si="0"/>
        <v>ASSOCIAZIONE L'AQUILONE - LOC. FLUMINI DI QUARTU S.E.Servizio semi-residenziale terapeutico
riabilitativo</v>
      </c>
      <c r="B18" s="16" t="s">
        <v>20</v>
      </c>
      <c r="C18" s="16" t="s">
        <v>27</v>
      </c>
      <c r="D18" s="16" t="s">
        <v>64</v>
      </c>
      <c r="E18" s="16" t="s">
        <v>65</v>
      </c>
      <c r="F18" s="6">
        <v>0.34343362439390401</v>
      </c>
      <c r="G18" s="22" t="str">
        <f t="shared" si="1"/>
        <v>CAGLIARIServizio semi-residenziale terapeutico
riabilitativo</v>
      </c>
      <c r="H18" s="23">
        <f t="shared" si="2"/>
        <v>1</v>
      </c>
      <c r="I18" s="23">
        <f t="shared" si="3"/>
        <v>1</v>
      </c>
      <c r="J18" s="6">
        <f t="shared" si="4"/>
        <v>1</v>
      </c>
      <c r="K18" s="6">
        <f t="shared" si="5"/>
        <v>0.67171681219695201</v>
      </c>
      <c r="L18" s="6">
        <f t="shared" si="7"/>
        <v>8.2704063044873558E-2</v>
      </c>
      <c r="M18" s="24">
        <f t="shared" si="6"/>
        <v>7.8476706847447633E-2</v>
      </c>
      <c r="N18" s="6">
        <f>'00-BUDGET'!D$16*L18</f>
        <v>138270.21858186254</v>
      </c>
      <c r="O18" s="6">
        <f>'00-BUDGET'!F$16*M18</f>
        <v>164003.29998741727</v>
      </c>
      <c r="P18" s="6">
        <f>'00-BUDGET'!H$16*M18</f>
        <v>196803.95998490072</v>
      </c>
    </row>
    <row r="19" spans="1:16" ht="75" x14ac:dyDescent="0.25">
      <c r="A19" s="4" t="str">
        <f t="shared" si="0"/>
        <v>ASSOCIAZIONE L'AQUILONE - U.O. LOC. MAGANGIOSA SESTUServizio residenziale terapeutico riabilitativo</v>
      </c>
      <c r="B19" s="16" t="s">
        <v>20</v>
      </c>
      <c r="C19" s="16" t="s">
        <v>27</v>
      </c>
      <c r="D19" s="16" t="s">
        <v>66</v>
      </c>
      <c r="E19" s="16" t="s">
        <v>50</v>
      </c>
      <c r="F19" s="6">
        <v>0.34343362439390401</v>
      </c>
      <c r="G19" s="22" t="str">
        <f t="shared" si="1"/>
        <v>CAGLIARIServizio residenziale terapeutico riabilitativo</v>
      </c>
      <c r="H19" s="23">
        <f t="shared" si="2"/>
        <v>3</v>
      </c>
      <c r="I19" s="23">
        <f t="shared" si="3"/>
        <v>6</v>
      </c>
      <c r="J19" s="6">
        <f t="shared" si="4"/>
        <v>0.5</v>
      </c>
      <c r="K19" s="6">
        <f t="shared" si="5"/>
        <v>0.42171681219695201</v>
      </c>
      <c r="L19" s="6">
        <f t="shared" si="7"/>
        <v>5.1923211076029221E-2</v>
      </c>
      <c r="M19" s="24">
        <f t="shared" si="6"/>
        <v>4.9269195057331197E-2</v>
      </c>
      <c r="N19" s="6">
        <f>'00-BUDGET'!D$16*L19</f>
        <v>86808.718709011067</v>
      </c>
      <c r="O19" s="6">
        <f>'00-BUDGET'!F$16*M19</f>
        <v>102964.4451420921</v>
      </c>
      <c r="P19" s="6">
        <f>'00-BUDGET'!H$16*M19</f>
        <v>123557.33417051051</v>
      </c>
    </row>
    <row r="20" spans="1:16" ht="75" x14ac:dyDescent="0.25">
      <c r="A20" s="4" t="str">
        <f t="shared" si="0"/>
        <v>ASSOCIAZIONE L'AQUILONE - Comunità Terapeutica Assemini Servizio residenziale terapeutico riabilitativo</v>
      </c>
      <c r="B20" s="16" t="s">
        <v>20</v>
      </c>
      <c r="C20" s="16" t="s">
        <v>27</v>
      </c>
      <c r="D20" s="16" t="s">
        <v>67</v>
      </c>
      <c r="E20" s="16" t="s">
        <v>50</v>
      </c>
      <c r="F20" s="6">
        <v>0.34343362439390401</v>
      </c>
      <c r="G20" s="22" t="str">
        <f t="shared" si="1"/>
        <v>CAGLIARIServizio residenziale terapeutico riabilitativo</v>
      </c>
      <c r="H20" s="23">
        <f t="shared" si="2"/>
        <v>3</v>
      </c>
      <c r="I20" s="23">
        <f t="shared" si="3"/>
        <v>6</v>
      </c>
      <c r="J20" s="6">
        <f t="shared" si="4"/>
        <v>0.5</v>
      </c>
      <c r="K20" s="6">
        <f t="shared" si="5"/>
        <v>0.42171681219695201</v>
      </c>
      <c r="L20" s="6">
        <f t="shared" si="7"/>
        <v>5.1923211076029221E-2</v>
      </c>
      <c r="M20" s="24">
        <f t="shared" si="6"/>
        <v>4.9269195057331197E-2</v>
      </c>
      <c r="N20" s="6">
        <f>'00-BUDGET'!D$16*L20</f>
        <v>86808.718709011067</v>
      </c>
      <c r="O20" s="6">
        <f>'00-BUDGET'!F$16*M20</f>
        <v>102964.4451420921</v>
      </c>
      <c r="P20" s="6">
        <f>'00-BUDGET'!H$16*M20</f>
        <v>123557.33417051051</v>
      </c>
    </row>
    <row r="21" spans="1:16" ht="60" x14ac:dyDescent="0.25">
      <c r="B21" s="16" t="s">
        <v>28</v>
      </c>
      <c r="C21" s="16" t="s">
        <v>29</v>
      </c>
      <c r="D21" s="16" t="s">
        <v>68</v>
      </c>
      <c r="E21" s="16" t="s">
        <v>55</v>
      </c>
      <c r="F21" s="6">
        <v>9.9672234005895102E-2</v>
      </c>
      <c r="G21" s="22" t="str">
        <f t="shared" si="1"/>
        <v>OLBIAServizio residenziale pedagogico riabilitativo</v>
      </c>
      <c r="H21" s="23">
        <f t="shared" si="2"/>
        <v>1</v>
      </c>
      <c r="I21" s="23">
        <f t="shared" si="3"/>
        <v>5</v>
      </c>
      <c r="J21" s="6">
        <f t="shared" si="4"/>
        <v>0.8</v>
      </c>
      <c r="K21" s="6">
        <f t="shared" si="5"/>
        <v>0.44983611700294757</v>
      </c>
      <c r="L21" s="6">
        <f t="shared" si="7"/>
        <v>5.5385355710829871E-2</v>
      </c>
      <c r="M21" s="24">
        <f t="shared" si="6"/>
        <v>5.2554374763935166E-2</v>
      </c>
      <c r="N21" s="6">
        <f>'00-BUDGET'!D$16*L21</f>
        <v>92596.965111804719</v>
      </c>
      <c r="O21" s="6">
        <f>'00-BUDGET'!F$16*M21</f>
        <v>109829.92579971056</v>
      </c>
      <c r="P21" s="6">
        <f>'00-BUDGET'!H$16*M21</f>
        <v>131795.91095965268</v>
      </c>
    </row>
    <row r="1048576" ht="15.75" x14ac:dyDescent="0.25"/>
  </sheetData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10"/>
  <sheetViews>
    <sheetView topLeftCell="B1" zoomScaleNormal="100" workbookViewId="0">
      <selection activeCell="F1" sqref="F1"/>
    </sheetView>
  </sheetViews>
  <sheetFormatPr defaultColWidth="8.625" defaultRowHeight="15" customHeight="1" x14ac:dyDescent="0.25"/>
  <cols>
    <col min="1" max="1" width="9.125" style="4" hidden="1" customWidth="1"/>
    <col min="2" max="2" width="22.75" style="4" customWidth="1"/>
    <col min="3" max="3" width="48.5" style="4" customWidth="1"/>
    <col min="4" max="4" width="18.5" style="4" customWidth="1"/>
    <col min="5" max="5" width="12.875" style="4" customWidth="1"/>
    <col min="6" max="6" width="16.5" style="4" customWidth="1"/>
    <col min="16381" max="16384" width="10.5" style="4" customWidth="1"/>
  </cols>
  <sheetData>
    <row r="1" spans="1:6" ht="72" x14ac:dyDescent="0.25">
      <c r="A1" s="4" t="s">
        <v>11</v>
      </c>
      <c r="B1" s="15" t="s">
        <v>12</v>
      </c>
      <c r="C1" s="15" t="s">
        <v>13</v>
      </c>
      <c r="D1" s="15" t="s">
        <v>44</v>
      </c>
      <c r="E1" s="15" t="s">
        <v>45</v>
      </c>
      <c r="F1" s="15" t="s">
        <v>46</v>
      </c>
    </row>
    <row r="2" spans="1:6" ht="31.5" x14ac:dyDescent="0.25">
      <c r="A2" s="4" t="e">
        <f>CONCATENATE(C2,#REF!)</f>
        <v>#REF!</v>
      </c>
      <c r="B2" s="16" t="s">
        <v>18</v>
      </c>
      <c r="C2" s="17" t="s">
        <v>19</v>
      </c>
      <c r="D2" s="18">
        <f>SUMIF('03-CAPILLARIZZAZIONE calc'!C$2:C$21,C2,'03-CAPILLARIZZAZIONE calc'!N$2:N$21)</f>
        <v>347374.85778720502</v>
      </c>
      <c r="E2" s="18">
        <f>SUMIF('03-CAPILLARIZZAZIONE calc'!C$2:C$21,C2,'03-CAPILLARIZZAZIONE calc'!O$2:O$21)</f>
        <v>518844.12036146206</v>
      </c>
      <c r="F2" s="18">
        <f>SUMIF('03-CAPILLARIZZAZIONE calc'!C$2:C$21,C2,'03-CAPILLARIZZAZIONE calc'!P$2:P$21)</f>
        <v>622612.94443375443</v>
      </c>
    </row>
    <row r="3" spans="1:6" ht="15.75" x14ac:dyDescent="0.25">
      <c r="A3" s="4" t="e">
        <f>CONCATENATE(C3,#REF!)</f>
        <v>#REF!</v>
      </c>
      <c r="B3" s="16" t="s">
        <v>20</v>
      </c>
      <c r="C3" s="17" t="s">
        <v>21</v>
      </c>
      <c r="D3" s="18">
        <f>SUMIF('03-CAPILLARIZZAZIONE calc'!C$2:C$21,C3,'03-CAPILLARIZZAZIONE calc'!N$2:N$21)</f>
        <v>274149.22275979363</v>
      </c>
      <c r="E3" s="18">
        <f>SUMIF('03-CAPILLARIZZAZIONE calc'!C$2:C$21,C3,'03-CAPILLARIZZAZIONE calc'!O$2:O$21)</f>
        <v>325170.36338502972</v>
      </c>
      <c r="F3" s="18">
        <f>SUMIF('03-CAPILLARIZZAZIONE calc'!C$2:C$21,C3,'03-CAPILLARIZZAZIONE calc'!P$2:P$21)</f>
        <v>390204.43606203562</v>
      </c>
    </row>
    <row r="4" spans="1:6" ht="31.5" x14ac:dyDescent="0.25">
      <c r="A4" s="4" t="e">
        <f>CONCATENATE(C4,#REF!)</f>
        <v>#REF!</v>
      </c>
      <c r="B4" s="16" t="s">
        <v>18</v>
      </c>
      <c r="C4" s="17" t="s">
        <v>22</v>
      </c>
      <c r="D4" s="18">
        <f>SUMIF('03-CAPILLARIZZAZIONE calc'!C$2:C$21,C4,'03-CAPILLARIZZAZIONE calc'!N$2:N$21)</f>
        <v>110644.17145572217</v>
      </c>
      <c r="E4" s="18">
        <f>SUMIF('03-CAPILLARIZZAZIONE calc'!C$2:C$21,C4,'03-CAPILLARIZZAZIONE calc'!O$2:O$21)</f>
        <v>131235.84694681547</v>
      </c>
      <c r="F4" s="18">
        <f>SUMIF('03-CAPILLARIZZAZIONE calc'!C$2:C$21,C4,'03-CAPILLARIZZAZIONE calc'!P$2:P$21)</f>
        <v>157483.01633617858</v>
      </c>
    </row>
    <row r="5" spans="1:6" ht="26.85" customHeight="1" x14ac:dyDescent="0.25">
      <c r="A5" s="4" t="e">
        <f>CONCATENATE(C5,#REF!)</f>
        <v>#REF!</v>
      </c>
      <c r="B5" s="16" t="s">
        <v>23</v>
      </c>
      <c r="C5" s="17" t="s">
        <v>24</v>
      </c>
      <c r="D5" s="18">
        <f>SUMIF('03-CAPILLARIZZAZIONE calc'!C$2:C$21,C5,'03-CAPILLARIZZAZIONE calc'!N$2:N$21)</f>
        <v>102975.67327489375</v>
      </c>
      <c r="E5" s="18">
        <f>SUMIF('03-CAPILLARIZZAZIONE calc'!C$2:C$21,C5,'03-CAPILLARIZZAZIONE calc'!O$2:O$21)</f>
        <v>122140.18614218045</v>
      </c>
      <c r="F5" s="18">
        <f>SUMIF('03-CAPILLARIZZAZIONE calc'!C$2:C$21,C5,'03-CAPILLARIZZAZIONE calc'!P$2:P$21)</f>
        <v>146568.22337061653</v>
      </c>
    </row>
    <row r="6" spans="1:6" ht="15.75" x14ac:dyDescent="0.25">
      <c r="A6" s="4" t="e">
        <f>CONCATENATE(C6,#REF!)</f>
        <v>#REF!</v>
      </c>
      <c r="B6" s="16" t="s">
        <v>25</v>
      </c>
      <c r="C6" s="17" t="s">
        <v>26</v>
      </c>
      <c r="D6" s="18">
        <f>SUMIF('03-CAPILLARIZZAZIONE calc'!C$2:C$21,C6,'03-CAPILLARIZZAZIONE calc'!N$2:N$21)</f>
        <v>258621.31619267378</v>
      </c>
      <c r="E6" s="18">
        <f>SUMIF('03-CAPILLARIZZAZIONE calc'!C$2:C$21,C6,'03-CAPILLARIZZAZIONE calc'!O$2:O$21)</f>
        <v>306752.60180901666</v>
      </c>
      <c r="F6" s="18">
        <f>SUMIF('03-CAPILLARIZZAZIONE calc'!C$2:C$21,C6,'03-CAPILLARIZZAZIONE calc'!P$2:P$21)</f>
        <v>368103.12217082002</v>
      </c>
    </row>
    <row r="7" spans="1:6" ht="31.5" x14ac:dyDescent="0.25">
      <c r="A7" s="4" t="e">
        <f>CONCATENATE(C7,#REF!)</f>
        <v>#REF!</v>
      </c>
      <c r="B7" s="16" t="s">
        <v>20</v>
      </c>
      <c r="C7" s="17" t="s">
        <v>27</v>
      </c>
      <c r="D7" s="18">
        <f>SUMIF('03-CAPILLARIZZAZIONE calc'!C$2:C$21,C7,'03-CAPILLARIZZAZIONE calc'!N$2:N$21)</f>
        <v>485505.0934179069</v>
      </c>
      <c r="E7" s="18">
        <f>SUMIF('03-CAPILLARIZZAZIONE calc'!C$2:C$21,C7,'03-CAPILLARIZZAZIONE calc'!O$2:O$21)</f>
        <v>575861.08055578556</v>
      </c>
      <c r="F7" s="18">
        <f>SUMIF('03-CAPILLARIZZAZIONE calc'!C$2:C$21,C7,'03-CAPILLARIZZAZIONE calc'!P$2:P$21)</f>
        <v>691033.29666694277</v>
      </c>
    </row>
    <row r="8" spans="1:6" ht="15.75" x14ac:dyDescent="0.25">
      <c r="A8" s="4" t="e">
        <f>CONCATENATE(C8,#REF!)</f>
        <v>#REF!</v>
      </c>
      <c r="B8" s="16" t="s">
        <v>28</v>
      </c>
      <c r="C8" s="17" t="s">
        <v>29</v>
      </c>
      <c r="D8" s="18">
        <f>SUMIF('03-CAPILLARIZZAZIONE calc'!C$2:C$21,C8,'03-CAPILLARIZZAZIONE calc'!N$2:N$21)</f>
        <v>92596.965111804719</v>
      </c>
      <c r="E8" s="18">
        <f>SUMIF('03-CAPILLARIZZAZIONE calc'!C$2:C$21,C8,'03-CAPILLARIZZAZIONE calc'!O$2:O$21)</f>
        <v>109829.92579971056</v>
      </c>
      <c r="F8" s="18">
        <f>SUMIF('03-CAPILLARIZZAZIONE calc'!C$2:C$21,C8,'03-CAPILLARIZZAZIONE calc'!P$2:P$21)</f>
        <v>131795.91095965268</v>
      </c>
    </row>
    <row r="10" spans="1:6" ht="15.75" x14ac:dyDescent="0.25"/>
  </sheetData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EA1048576"/>
  <sheetViews>
    <sheetView topLeftCell="B4" zoomScaleNormal="100" workbookViewId="0">
      <selection activeCell="G3" sqref="G3"/>
    </sheetView>
  </sheetViews>
  <sheetFormatPr defaultColWidth="8.625" defaultRowHeight="15" customHeight="1" x14ac:dyDescent="0.25"/>
  <cols>
    <col min="1" max="1" width="9.125" style="4" hidden="1" customWidth="1"/>
    <col min="2" max="2" width="16.25" style="4" customWidth="1"/>
    <col min="3" max="3" width="41.75" style="4" customWidth="1"/>
    <col min="4" max="5" width="17.375" style="4" customWidth="1"/>
    <col min="6" max="6" width="27" style="4" customWidth="1"/>
    <col min="7" max="9" width="23.625" style="4" customWidth="1"/>
    <col min="16354" max="16355" width="10.5" customWidth="1"/>
    <col min="16356" max="16384" width="10.5" style="4" customWidth="1"/>
  </cols>
  <sheetData>
    <row r="2" spans="1:9" ht="89.65" customHeight="1" x14ac:dyDescent="0.25">
      <c r="A2" s="26" t="s">
        <v>11</v>
      </c>
      <c r="B2" s="15" t="s">
        <v>12</v>
      </c>
      <c r="C2" s="15" t="s">
        <v>13</v>
      </c>
      <c r="D2" s="15" t="s">
        <v>69</v>
      </c>
      <c r="E2" s="15" t="s">
        <v>70</v>
      </c>
      <c r="F2" s="15" t="s">
        <v>14</v>
      </c>
      <c r="G2" s="15" t="s">
        <v>71</v>
      </c>
      <c r="H2" s="15" t="s">
        <v>72</v>
      </c>
      <c r="I2" s="15" t="s">
        <v>73</v>
      </c>
    </row>
    <row r="3" spans="1:9" ht="48" customHeight="1" x14ac:dyDescent="0.25">
      <c r="A3" s="4" t="e">
        <f>CONCATENATE(#REF!,#REF!)</f>
        <v>#REF!</v>
      </c>
      <c r="B3" s="16" t="s">
        <v>18</v>
      </c>
      <c r="C3" s="17" t="s">
        <v>19</v>
      </c>
      <c r="D3" s="18">
        <f>VLOOKUP(C3,'02-CAPACITA'!C:D,2,0)</f>
        <v>2922555</v>
      </c>
      <c r="E3" s="18">
        <f>VLOOKUP(C3,'02-CAPACITA'!C$2:E$8,3,0)</f>
        <v>3152140</v>
      </c>
      <c r="F3" s="18">
        <f>VLOOKUP(C3,'01-FATTURATO'!C$2:D$8,2,0)</f>
        <v>1511323.875</v>
      </c>
      <c r="G3" s="18">
        <f>IF(E3&lt;VLOOKUP(C3,'02-CAPACITA'!C$2:J$8,6,0)+VLOOKUP(C3,'01-FATTURATO'!C$2:H$8,4,0)+VLOOKUP(C3,'03-CAPILLARIZZAZIONE'!C$2:F$8,2,0),D3,VLOOKUP(C3,'02-CAPACITA'!C$2:J$8,6,0)+VLOOKUP(C3,'01-FATTURATO'!C$2:H$8,4,0)+VLOOKUP(C3,'03-CAPILLARIZZAZIONE'!C$2:F$8,2,0))</f>
        <v>2922555</v>
      </c>
      <c r="H3" s="27">
        <f>IF(E3&lt;VLOOKUP(C3,'02-CAPACITA'!C$2:J$8,7,0)+VLOOKUP(C3,'01-FATTURATO'!C$2:H$8,5,0)+VLOOKUP(C3,'03-CAPILLARIZZAZIONE'!C$2:F$8,3,0),E3,VLOOKUP(C3,'02-CAPACITA'!C$2:J$8,7,0)+VLOOKUP(C3,'01-FATTURATO'!C$2:H$8,5,0)+VLOOKUP(C3,'03-CAPILLARIZZAZIONE'!C$2:F$8,3,0))</f>
        <v>3152140</v>
      </c>
      <c r="I3" s="18">
        <f>IF(E3&lt;VLOOKUP(C3,'02-CAPACITA'!C$2:J$8,7,0)+VLOOKUP(C3,'01-FATTURATO'!C$2:H$8,6,0)+VLOOKUP(C3,'03-CAPILLARIZZAZIONE'!C$2:F$8,4,0),E3,VLOOKUP(C3,'02-CAPACITA'!C$2:J$8,7,0)+VLOOKUP(C3,'01-FATTURATO'!C$2:H$8,6,0)+VLOOKUP(C3,'03-CAPILLARIZZAZIONE'!C$2:F$8,4,0))</f>
        <v>3152140</v>
      </c>
    </row>
    <row r="4" spans="1:9" ht="48" customHeight="1" x14ac:dyDescent="0.25">
      <c r="A4" s="4" t="e">
        <f>CONCATENATE(#REF!,#REF!)</f>
        <v>#REF!</v>
      </c>
      <c r="B4" s="16" t="s">
        <v>20</v>
      </c>
      <c r="C4" s="17" t="s">
        <v>21</v>
      </c>
      <c r="D4" s="18">
        <f>VLOOKUP(C4,'02-CAPACITA'!C:D,2,0)</f>
        <v>1448685</v>
      </c>
      <c r="E4" s="18">
        <f>VLOOKUP(C4,'02-CAPACITA'!C$2:E$8,3,0)</f>
        <v>1448685</v>
      </c>
      <c r="F4" s="18">
        <f>VLOOKUP(C4,'01-FATTURATO'!C$2:D$8,2,0)</f>
        <v>1040318.58</v>
      </c>
      <c r="G4" s="18">
        <f>IF(E4&lt;VLOOKUP(C4,'02-CAPACITA'!C$2:J$8,6,0)+VLOOKUP(C4,'01-FATTURATO'!C$2:H$8,4,0)+VLOOKUP(C4,'03-CAPILLARIZZAZIONE'!C$2:F$8,2,0),E4,VLOOKUP(C4,'02-CAPACITA'!C$2:J$8,6,0)+VLOOKUP(C4,'01-FATTURATO'!C$2:H$8,4,0)+VLOOKUP(C4,'03-CAPILLARIZZAZIONE'!C$2:F$8,2,0))</f>
        <v>1448685</v>
      </c>
      <c r="H4" s="27">
        <f>IF(E4&lt;VLOOKUP(C4,'02-CAPACITA'!C$2:J$8,7,0)+VLOOKUP(C4,'01-FATTURATO'!C$2:H$8,5,0)+VLOOKUP(C4,'03-CAPILLARIZZAZIONE'!C$2:F$8,3,0),E4,VLOOKUP(C4,'02-CAPACITA'!C$2:J$8,7,0)+VLOOKUP(C4,'01-FATTURATO'!C$2:H$8,5,0)+VLOOKUP(C4,'03-CAPILLARIZZAZIONE'!C$2:F$8,3,0))</f>
        <v>1448685</v>
      </c>
      <c r="I4" s="18">
        <f>IF(E4&lt;VLOOKUP(C4,'02-CAPACITA'!C$2:J$8,7,0)+VLOOKUP(C4,'01-FATTURATO'!C$2:H$8,6,0)+VLOOKUP(C4,'03-CAPILLARIZZAZIONE'!C$2:F$8,4,0),E4,VLOOKUP(C4,'02-CAPACITA'!C$2:J$8,7,0)+VLOOKUP(C4,'01-FATTURATO'!C$2:H$8,6,0)+VLOOKUP(C4,'03-CAPILLARIZZAZIONE'!C$2:F$8,4,0))</f>
        <v>1448685</v>
      </c>
    </row>
    <row r="5" spans="1:9" ht="48" customHeight="1" x14ac:dyDescent="0.25">
      <c r="A5" s="4" t="e">
        <f>CONCATENATE(#REF!,#REF!)</f>
        <v>#REF!</v>
      </c>
      <c r="B5" s="16" t="s">
        <v>18</v>
      </c>
      <c r="C5" s="17" t="s">
        <v>22</v>
      </c>
      <c r="D5" s="18">
        <f>VLOOKUP(C5,'02-CAPACITA'!C:D,2,0)</f>
        <v>335800</v>
      </c>
      <c r="E5" s="18">
        <f>VLOOKUP(C5,'02-CAPACITA'!C$2:E$8,3,0)</f>
        <v>335800</v>
      </c>
      <c r="F5" s="18">
        <f>VLOOKUP(C5,'01-FATTURATO'!C$2:D$8,2,0)</f>
        <v>215979.85</v>
      </c>
      <c r="G5" s="18">
        <f>IF(E5&lt;VLOOKUP(C5,'02-CAPACITA'!C$2:J$8,6,0)+VLOOKUP(C5,'01-FATTURATO'!C$2:H$8,4,0)+VLOOKUP(C5,'03-CAPILLARIZZAZIONE'!C$2:F$8,2,0),E5,VLOOKUP(C5,'02-CAPACITA'!C$2:J$8,6,0)+VLOOKUP(C5,'01-FATTURATO'!C$2:H$8,4,0)+VLOOKUP(C5,'03-CAPILLARIZZAZIONE'!C$2:F$8,2,0))</f>
        <v>335800</v>
      </c>
      <c r="H5" s="27">
        <f>IF(E5&lt;VLOOKUP(C5,'02-CAPACITA'!C$2:J$8,7,0)+VLOOKUP(C5,'01-FATTURATO'!C$2:H$8,5,0)+VLOOKUP(C5,'03-CAPILLARIZZAZIONE'!C$2:F$8,3,0),E5,VLOOKUP(C5,'02-CAPACITA'!C$2:J$8,7,0)+VLOOKUP(C5,'01-FATTURATO'!C$2:H$8,5,0)+VLOOKUP(C5,'03-CAPILLARIZZAZIONE'!C$2:F$8,3,0))</f>
        <v>335800</v>
      </c>
      <c r="I5" s="18">
        <f>IF(E5&lt;VLOOKUP(C5,'02-CAPACITA'!C$2:J$8,7,0)+VLOOKUP(C5,'01-FATTURATO'!C$2:H$8,6,0)+VLOOKUP(C5,'03-CAPILLARIZZAZIONE'!C$2:F$8,4,0),E5,VLOOKUP(C5,'02-CAPACITA'!C$2:J$8,7,0)+VLOOKUP(C5,'01-FATTURATO'!C$2:H$8,6,0)+VLOOKUP(C5,'03-CAPILLARIZZAZIONE'!C$2:F$8,4,0))</f>
        <v>335800</v>
      </c>
    </row>
    <row r="6" spans="1:9" ht="48" customHeight="1" x14ac:dyDescent="0.25">
      <c r="A6" s="4" t="e">
        <f>CONCATENATE(#REF!,#REF!)</f>
        <v>#REF!</v>
      </c>
      <c r="B6" s="16" t="s">
        <v>23</v>
      </c>
      <c r="C6" s="17" t="s">
        <v>24</v>
      </c>
      <c r="D6" s="18">
        <f>VLOOKUP(C6,'02-CAPACITA'!C:D,2,0)</f>
        <v>3679200</v>
      </c>
      <c r="E6" s="18">
        <f>VLOOKUP(C6,'02-CAPACITA'!C$2:E$8,3,0)</f>
        <v>3679200</v>
      </c>
      <c r="F6" s="18">
        <f>VLOOKUP(C6,'01-FATTURATO'!C$2:D$8,2,0)</f>
        <v>794981.48</v>
      </c>
      <c r="G6" s="18">
        <f>IF(E6&lt;VLOOKUP(C6,'02-CAPACITA'!C$2:J$8,6,0)+VLOOKUP(C6,'01-FATTURATO'!C$2:H$8,4,0)+VLOOKUP(C6,'03-CAPILLARIZZAZIONE'!C$2:F$8,2,0),E6,VLOOKUP(C6,'02-CAPACITA'!C$2:J$8,6,0)+VLOOKUP(C6,'01-FATTURATO'!C$2:H$8,4,0)+VLOOKUP(C6,'03-CAPILLARIZZAZIONE'!C$2:F$8,2,0))</f>
        <v>1973822.5922455597</v>
      </c>
      <c r="H6" s="27">
        <f>IF(E6&lt;VLOOKUP(C6,'02-CAPACITA'!C$2:J$8,7,0)+VLOOKUP(C6,'01-FATTURATO'!C$2:H$8,5,0)+VLOOKUP(C6,'03-CAPILLARIZZAZIONE'!C$2:F$8,3,0),E6,VLOOKUP(C6,'02-CAPACITA'!C$2:J$8,7,0)+VLOOKUP(C6,'01-FATTURATO'!C$2:H$8,5,0)+VLOOKUP(C6,'03-CAPILLARIZZAZIONE'!C$2:F$8,3,0))</f>
        <v>1941812.2079419023</v>
      </c>
      <c r="I6" s="18">
        <f>IF(E6&lt;VLOOKUP(C6,'02-CAPACITA'!C$2:J$8,7,0)+VLOOKUP(C6,'01-FATTURATO'!C$2:H$8,6,0)+VLOOKUP(C6,'03-CAPILLARIZZAZIONE'!C$2:F$8,4,0),E6,VLOOKUP(C6,'02-CAPACITA'!C$2:J$8,7,0)+VLOOKUP(C6,'01-FATTURATO'!C$2:H$8,6,0)+VLOOKUP(C6,'03-CAPILLARIZZAZIONE'!C$2:F$8,4,0))</f>
        <v>1923982.7460531762</v>
      </c>
    </row>
    <row r="7" spans="1:9" ht="48" customHeight="1" x14ac:dyDescent="0.25">
      <c r="A7" s="4" t="e">
        <f>CONCATENATE(#REF!,#REF!)</f>
        <v>#REF!</v>
      </c>
      <c r="B7" s="16" t="s">
        <v>25</v>
      </c>
      <c r="C7" s="17" t="s">
        <v>26</v>
      </c>
      <c r="D7" s="18">
        <f>VLOOKUP(C7,'02-CAPACITA'!C:D,2,0)</f>
        <v>1819160</v>
      </c>
      <c r="E7" s="18">
        <f>VLOOKUP(C7,'02-CAPACITA'!C$2:E$8,3,0)</f>
        <v>1819160</v>
      </c>
      <c r="F7" s="18">
        <f>VLOOKUP(C7,'01-FATTURATO'!C$2:D$8,2,0)</f>
        <v>1039243.1</v>
      </c>
      <c r="G7" s="18">
        <f>IF(E7&lt;VLOOKUP(C7,'02-CAPACITA'!C$2:J$8,6,0)+VLOOKUP(C7,'01-FATTURATO'!C$2:H$8,4,0)+VLOOKUP(C7,'03-CAPILLARIZZAZIONE'!C$2:F$8,2,0),E7,VLOOKUP(C7,'02-CAPACITA'!C$2:J$8,6,0)+VLOOKUP(C7,'01-FATTURATO'!C$2:H$8,4,0)+VLOOKUP(C7,'03-CAPILLARIZZAZIONE'!C$2:F$8,2,0))</f>
        <v>1819160</v>
      </c>
      <c r="H7" s="27">
        <f>IF(E7&lt;VLOOKUP(C7,'02-CAPACITA'!C$2:J$8,7,0)+VLOOKUP(C7,'01-FATTURATO'!C$2:H$8,5,0)+VLOOKUP(C7,'03-CAPILLARIZZAZIONE'!C$2:F$8,3,0),E7,VLOOKUP(C7,'02-CAPACITA'!C$2:J$8,7,0)+VLOOKUP(C7,'01-FATTURATO'!C$2:H$8,5,0)+VLOOKUP(C7,'03-CAPILLARIZZAZIONE'!C$2:F$8,3,0))</f>
        <v>1819160</v>
      </c>
      <c r="I7" s="18">
        <f>IF(E7&lt;VLOOKUP(C7,'02-CAPACITA'!C$2:J$8,7,0)+VLOOKUP(C7,'01-FATTURATO'!C$2:H$8,6,0)+VLOOKUP(C7,'03-CAPILLARIZZAZIONE'!C$2:F$8,4,0),E7,VLOOKUP(C7,'02-CAPACITA'!C$2:J$8,7,0)+VLOOKUP(C7,'01-FATTURATO'!C$2:H$8,6,0)+VLOOKUP(C7,'03-CAPILLARIZZAZIONE'!C$2:F$8,4,0))</f>
        <v>1819160</v>
      </c>
    </row>
    <row r="8" spans="1:9" ht="48" customHeight="1" x14ac:dyDescent="0.25">
      <c r="A8" s="4" t="e">
        <f>CONCATENATE(#REF!,#REF!)</f>
        <v>#REF!</v>
      </c>
      <c r="B8" s="16" t="s">
        <v>20</v>
      </c>
      <c r="C8" s="17" t="s">
        <v>27</v>
      </c>
      <c r="D8" s="18">
        <f>VLOOKUP(C8,'02-CAPACITA'!C:D,2,0)</f>
        <v>4070835</v>
      </c>
      <c r="E8" s="18">
        <f>VLOOKUP(C8,'02-CAPACITA'!C$2:E$8,3,0)</f>
        <v>4070835</v>
      </c>
      <c r="F8" s="18">
        <f>VLOOKUP(C8,'01-FATTURATO'!C$2:D$8,2,0)</f>
        <v>2839070.15</v>
      </c>
      <c r="G8" s="18">
        <f>IF(E8&lt;VLOOKUP(C8,'02-CAPACITA'!C$2:J$8,6,0)+VLOOKUP(C8,'01-FATTURATO'!C$2:H$8,4,0)+VLOOKUP(C8,'03-CAPILLARIZZAZIONE'!C$2:F$8,2,0),E8,VLOOKUP(C8,'02-CAPACITA'!C$2:J$8,6,0)+VLOOKUP(C8,'01-FATTURATO'!C$2:H$8,4,0)+VLOOKUP(C8,'03-CAPILLARIZZAZIONE'!C$2:F$8,2,0))</f>
        <v>4070835</v>
      </c>
      <c r="H8" s="27">
        <f>IF(E8&lt;VLOOKUP(C8,'02-CAPACITA'!C$2:J$8,7,0)+VLOOKUP(C8,'01-FATTURATO'!C$2:H$8,5,0)+VLOOKUP(C8,'03-CAPILLARIZZAZIONE'!C$2:F$8,3,0),E8,VLOOKUP(C8,'02-CAPACITA'!C$2:J$8,7,0)+VLOOKUP(C8,'01-FATTURATO'!C$2:H$8,5,0)+VLOOKUP(C8,'03-CAPILLARIZZAZIONE'!C$2:F$8,3,0))</f>
        <v>4070835</v>
      </c>
      <c r="I8" s="18">
        <f>IF(E8&lt;VLOOKUP(C8,'02-CAPACITA'!C$2:J$8,7,0)+VLOOKUP(C8,'01-FATTURATO'!C$2:H$8,6,0)+VLOOKUP(C8,'03-CAPILLARIZZAZIONE'!C$2:F$8,4,0),E8,VLOOKUP(C8,'02-CAPACITA'!C$2:J$8,7,0)+VLOOKUP(C8,'01-FATTURATO'!C$2:H$8,6,0)+VLOOKUP(C8,'03-CAPILLARIZZAZIONE'!C$2:F$8,4,0))</f>
        <v>4070835</v>
      </c>
    </row>
    <row r="9" spans="1:9" ht="48" customHeight="1" x14ac:dyDescent="0.25">
      <c r="A9" s="4" t="e">
        <f>CONCATENATE(#REF!,#REF!)</f>
        <v>#REF!</v>
      </c>
      <c r="B9" s="16" t="s">
        <v>28</v>
      </c>
      <c r="C9" s="17" t="s">
        <v>29</v>
      </c>
      <c r="D9" s="18">
        <f>VLOOKUP(C9,'02-CAPACITA'!C:D,2,0)</f>
        <v>1022000</v>
      </c>
      <c r="E9" s="18">
        <f>VLOOKUP(C9,'02-CAPACITA'!C$2:E$8,3,0)</f>
        <v>1022000</v>
      </c>
      <c r="F9" s="18">
        <f>VLOOKUP(C9,'01-FATTURATO'!C$2:D$8,2,0)</f>
        <v>422205.3</v>
      </c>
      <c r="G9" s="18">
        <f>IF(E9&lt;VLOOKUP(C9,'02-CAPACITA'!C$2:J$8,6,0)+VLOOKUP(C9,'01-FATTURATO'!C$2:H$8,4,0)+VLOOKUP(C9,'03-CAPILLARIZZAZIONE'!C$2:F$8,2,0),E9,VLOOKUP(C9,'02-CAPACITA'!C$2:J$8,6,0)+VLOOKUP(C9,'01-FATTURATO'!C$2:H$8,4,0)+VLOOKUP(C9,'03-CAPILLARIZZAZIONE'!C$2:F$8,2,0))</f>
        <v>933404.63984465972</v>
      </c>
      <c r="H9" s="27">
        <f>IF(E9&lt;VLOOKUP(C9,'02-CAPACITA'!C$2:J$8,7,0)+VLOOKUP(C9,'01-FATTURATO'!C$2:H$8,5,0)+VLOOKUP(C9,'03-CAPILLARIZZAZIONE'!C$2:F$8,3,0),E9,VLOOKUP(C9,'02-CAPACITA'!C$2:J$8,7,0)+VLOOKUP(C9,'01-FATTURATO'!C$2:H$8,5,0)+VLOOKUP(C9,'03-CAPILLARIZZAZIONE'!C$2:F$8,3,0))</f>
        <v>925718.08548445499</v>
      </c>
      <c r="I9" s="18">
        <f>IF(E9&lt;VLOOKUP(C9,'02-CAPACITA'!C$2:J$8,7,0)+VLOOKUP(C9,'01-FATTURATO'!C$2:H$8,6,0)+VLOOKUP(C9,'03-CAPILLARIZZAZIONE'!C$2:F$8,4,0),E9,VLOOKUP(C9,'02-CAPACITA'!C$2:J$8,7,0)+VLOOKUP(C9,'01-FATTURATO'!C$2:H$8,6,0)+VLOOKUP(C9,'03-CAPILLARIZZAZIONE'!C$2:F$8,4,0))</f>
        <v>925241.61061122618</v>
      </c>
    </row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autoFilter ref="A2:I9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6907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00-BUDGET</vt:lpstr>
      <vt:lpstr>01-FATTURATO</vt:lpstr>
      <vt:lpstr>02-CAPACITA</vt:lpstr>
      <vt:lpstr>03-CAPILLARIZZAZIONE calc</vt:lpstr>
      <vt:lpstr>03-CAPILLARIZZAZIONE</vt:lpstr>
      <vt:lpstr>04 - TOTALE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Valued Acer Customer</dc:creator>
  <dc:description/>
  <cp:lastModifiedBy>910014dessi</cp:lastModifiedBy>
  <cp:revision>128</cp:revision>
  <cp:lastPrinted>2019-07-19T06:54:47Z</cp:lastPrinted>
  <dcterms:created xsi:type="dcterms:W3CDTF">2018-06-01T11:02:31Z</dcterms:created>
  <dcterms:modified xsi:type="dcterms:W3CDTF">2025-09-29T07:50:10Z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